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codeName="{3D1A710C-6663-3D7B-7F91-EC182F24A4BC}"/>
  <workbookPr codeName="ThisWorkbook"/>
  <mc:AlternateContent xmlns:mc="http://schemas.openxmlformats.org/markup-compatibility/2006">
    <mc:Choice Requires="x15">
      <x15ac:absPath xmlns:x15ac="http://schemas.microsoft.com/office/spreadsheetml/2010/11/ac" url="X:\Research\Projects\Scans\135417\Final Deliverables\"/>
    </mc:Choice>
  </mc:AlternateContent>
  <xr:revisionPtr revIDLastSave="0" documentId="8_{713EE034-32A4-46C6-9991-6EFD59D59BE0}" xr6:coauthVersionLast="36" xr6:coauthVersionMax="36" xr10:uidLastSave="{00000000-0000-0000-0000-000000000000}"/>
  <bookViews>
    <workbookView xWindow="0" yWindow="0" windowWidth="19200" windowHeight="11460" xr2:uid="{00000000-000D-0000-FFFF-FFFF00000000}"/>
  </bookViews>
  <sheets>
    <sheet name="Circular Pipe - Ciment." sheetId="1" r:id="rId1"/>
    <sheet name="Arch Pipe - Ciment." sheetId="3" r:id="rId2"/>
    <sheet name="Circular Pipe - Polym." sheetId="5" r:id="rId3"/>
    <sheet name="Arch Pipe - Polym." sheetId="7" r:id="rId4"/>
  </sheets>
  <definedNames>
    <definedName name="_xlnm.Print_Area" localSheetId="1">'Arch Pipe - Ciment.'!$B$2:$Q$105</definedName>
    <definedName name="_xlnm.Print_Area" localSheetId="3">'Arch Pipe - Polym.'!$B$2:$Q$113</definedName>
    <definedName name="_xlnm.Print_Area" localSheetId="0">'Circular Pipe - Ciment.'!$B$2:$Q$86</definedName>
    <definedName name="_xlnm.Print_Area" localSheetId="2">'Circular Pipe - Polym.'!$B$2:$Q$103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H69" i="7" l="1"/>
  <c r="AH70" i="7" s="1"/>
  <c r="AH8" i="7" s="1"/>
  <c r="H25" i="7"/>
  <c r="H26" i="7"/>
  <c r="H24" i="7"/>
  <c r="H23" i="7"/>
  <c r="AH24" i="5"/>
  <c r="AH25" i="5" s="1"/>
  <c r="AH8" i="5" s="1"/>
  <c r="AH20" i="3"/>
  <c r="AH65" i="3"/>
  <c r="AH67" i="3" s="1"/>
  <c r="AH8" i="3" s="1"/>
  <c r="AH60" i="1"/>
  <c r="AH62" i="1" s="1"/>
  <c r="AH8" i="1" s="1"/>
  <c r="C64" i="3" l="1"/>
  <c r="C63" i="3"/>
  <c r="C56" i="1"/>
  <c r="C57" i="1"/>
  <c r="C46" i="7" l="1"/>
  <c r="C39" i="5"/>
  <c r="C46" i="3"/>
  <c r="C39" i="1"/>
  <c r="I57" i="1"/>
  <c r="C56" i="7" l="1"/>
  <c r="C55" i="7"/>
  <c r="AE59" i="7" s="1"/>
  <c r="C48" i="5"/>
  <c r="AE67" i="5" s="1"/>
  <c r="C49" i="5"/>
  <c r="H83" i="3" l="1"/>
  <c r="T63" i="3"/>
  <c r="U56" i="1"/>
  <c r="T64" i="3"/>
  <c r="I64" i="3"/>
  <c r="I63" i="3"/>
  <c r="C49" i="1"/>
  <c r="C56" i="3"/>
  <c r="C55" i="3"/>
  <c r="AE43" i="3" s="1"/>
  <c r="C48" i="1"/>
  <c r="AE40" i="1" s="1"/>
  <c r="U57" i="1" l="1"/>
  <c r="I56" i="1"/>
  <c r="H66" i="7" l="1"/>
  <c r="H79" i="7"/>
  <c r="H23" i="3"/>
  <c r="AH7" i="7"/>
  <c r="AH7" i="5"/>
  <c r="AH10" i="5"/>
  <c r="AH11" i="5" s="1"/>
  <c r="AH7" i="3"/>
  <c r="AH7" i="1"/>
  <c r="AH10" i="1"/>
  <c r="AH11" i="1" s="1"/>
  <c r="H44" i="1" l="1"/>
  <c r="H85" i="7"/>
  <c r="H32" i="5" l="1"/>
  <c r="H55" i="5"/>
  <c r="H102" i="5"/>
  <c r="H63" i="5" l="1"/>
  <c r="J91" i="5"/>
  <c r="H65" i="5"/>
  <c r="AH20" i="5" s="1"/>
  <c r="AA12" i="5"/>
  <c r="AC56" i="5"/>
  <c r="H43" i="5" s="1"/>
  <c r="H56" i="5"/>
  <c r="H68" i="5" s="1"/>
  <c r="H101" i="5" s="1"/>
  <c r="J102" i="5" s="1"/>
  <c r="H90" i="5"/>
  <c r="H35" i="5"/>
  <c r="AH14" i="5" s="1"/>
  <c r="AH21" i="5" s="1"/>
  <c r="H89" i="3" l="1"/>
  <c r="AH12" i="5" l="1"/>
  <c r="AH13" i="5"/>
  <c r="H102" i="3"/>
  <c r="H96" i="3"/>
  <c r="AH19" i="5" l="1"/>
  <c r="H83" i="1"/>
  <c r="H76" i="1"/>
  <c r="H70" i="1" l="1"/>
  <c r="AH19" i="1" s="1"/>
  <c r="H53" i="1"/>
  <c r="H35" i="1" l="1"/>
  <c r="AH14" i="1" s="1"/>
  <c r="AH20" i="1" s="1"/>
  <c r="H32" i="1"/>
  <c r="AA12" i="1" l="1"/>
  <c r="AC38" i="1"/>
  <c r="H43" i="1" s="1"/>
  <c r="I46" i="7"/>
  <c r="I39" i="5"/>
  <c r="I39" i="1"/>
  <c r="I46" i="3"/>
  <c r="AH12" i="1" l="1"/>
  <c r="AH13" i="1"/>
  <c r="H42" i="7"/>
  <c r="AH14" i="7" s="1"/>
  <c r="AH21" i="7" s="1"/>
  <c r="H53" i="7" s="1"/>
  <c r="AH20" i="7"/>
  <c r="AH18" i="1" l="1"/>
  <c r="AH24" i="7"/>
  <c r="AH27" i="7" s="1"/>
  <c r="AH25" i="7"/>
  <c r="AH26" i="7"/>
  <c r="H80" i="7"/>
  <c r="H36" i="7"/>
  <c r="AH10" i="7" s="1"/>
  <c r="AH11" i="7" s="1"/>
  <c r="H88" i="7"/>
  <c r="H80" i="5"/>
  <c r="H81" i="5"/>
  <c r="H46" i="5"/>
  <c r="AH28" i="7" l="1"/>
  <c r="H81" i="7"/>
  <c r="J81" i="7" s="1"/>
  <c r="H39" i="7"/>
  <c r="AA12" i="7" s="1"/>
  <c r="H51" i="7"/>
  <c r="H78" i="7" s="1"/>
  <c r="J79" i="7" s="1"/>
  <c r="H83" i="7"/>
  <c r="H84" i="7" s="1"/>
  <c r="AC53" i="7" l="1"/>
  <c r="H50" i="7" s="1"/>
  <c r="AH12" i="7" l="1"/>
  <c r="AH13" i="7"/>
  <c r="H44" i="5"/>
  <c r="AH19" i="7" l="1"/>
  <c r="H52" i="7" s="1"/>
  <c r="AH23" i="7" s="1"/>
  <c r="AH30" i="7" s="1"/>
  <c r="AH32" i="7" s="1"/>
  <c r="H45" i="5"/>
  <c r="H82" i="7" l="1"/>
  <c r="J84" i="7" s="1"/>
  <c r="AJ34" i="7"/>
  <c r="AH34" i="7" s="1"/>
  <c r="H87" i="7" s="1"/>
  <c r="J88" i="7" s="1"/>
  <c r="AH29" i="7"/>
  <c r="AH31" i="7" s="1"/>
  <c r="AH33" i="7" s="1"/>
  <c r="H86" i="7" s="1"/>
  <c r="J86" i="7" s="1"/>
  <c r="H89" i="5"/>
  <c r="J90" i="5" s="1"/>
  <c r="H69" i="5"/>
  <c r="J69" i="5" s="1"/>
  <c r="H26" i="3" l="1"/>
  <c r="H42" i="3" s="1"/>
  <c r="AH14" i="3" s="1"/>
  <c r="H25" i="3"/>
  <c r="AH19" i="3" s="1"/>
  <c r="H24" i="3"/>
  <c r="H36" i="3" l="1"/>
  <c r="H39" i="3" l="1"/>
  <c r="AH10" i="3"/>
  <c r="AH11" i="3" l="1"/>
  <c r="H51" i="3" s="1"/>
  <c r="AA12" i="3"/>
  <c r="AC38" i="3"/>
  <c r="H50" i="3" s="1"/>
  <c r="H53" i="3"/>
  <c r="H90" i="3" l="1"/>
  <c r="H103" i="3"/>
  <c r="H97" i="3"/>
  <c r="H84" i="3"/>
  <c r="AH13" i="3"/>
  <c r="AH12" i="3"/>
  <c r="AH18" i="3" s="1"/>
  <c r="H45" i="1"/>
  <c r="H52" i="3" l="1"/>
  <c r="H82" i="3" l="1"/>
  <c r="H85" i="3" s="1"/>
  <c r="J85" i="3" s="1"/>
  <c r="H95" i="3"/>
  <c r="H98" i="3" s="1"/>
  <c r="J98" i="3" s="1"/>
  <c r="H101" i="3"/>
  <c r="H88" i="3"/>
  <c r="H91" i="3" s="1"/>
  <c r="J91" i="3" s="1"/>
  <c r="AG23" i="3" l="1"/>
  <c r="H104" i="3"/>
  <c r="AG24" i="3"/>
  <c r="AH23" i="3"/>
  <c r="H46" i="1"/>
  <c r="AG25" i="3" l="1"/>
  <c r="AH24" i="3"/>
  <c r="J104" i="3"/>
  <c r="H82" i="1" l="1"/>
  <c r="H75" i="1"/>
  <c r="H84" i="1"/>
  <c r="H77" i="1"/>
  <c r="H85" i="1" l="1"/>
  <c r="J85" i="1" s="1"/>
  <c r="H78" i="1"/>
  <c r="J78" i="1" s="1"/>
  <c r="AG23" i="1" l="1"/>
  <c r="AG24" i="1"/>
</calcChain>
</file>

<file path=xl/sharedStrings.xml><?xml version="1.0" encoding="utf-8"?>
<sst xmlns="http://schemas.openxmlformats.org/spreadsheetml/2006/main" count="623" uniqueCount="244">
  <si>
    <t>SAPL Design</t>
  </si>
  <si>
    <t>Location:</t>
  </si>
  <si>
    <t>Date:</t>
  </si>
  <si>
    <t>Live and Dead Loads Calculation:</t>
  </si>
  <si>
    <t>If impact factor = 1 + 0.33 [(96 – h)/96] ≥ 1.0</t>
  </si>
  <si>
    <t>Live and Dead Loads Results:</t>
  </si>
  <si>
    <r>
      <t>l</t>
    </r>
    <r>
      <rPr>
        <vertAlign val="subscript"/>
        <sz val="10"/>
        <color theme="1"/>
        <rFont val="Arial"/>
        <family val="2"/>
      </rPr>
      <t>w</t>
    </r>
    <r>
      <rPr>
        <sz val="10"/>
        <color theme="1"/>
        <rFont val="Arial"/>
        <family val="2"/>
      </rPr>
      <t xml:space="preserve"> load width parallel to direction of travel (in)
</t>
    </r>
  </si>
  <si>
    <r>
      <t>w</t>
    </r>
    <r>
      <rPr>
        <vertAlign val="subscript"/>
        <sz val="11"/>
        <color theme="1"/>
        <rFont val="Calibri"/>
        <family val="2"/>
        <scheme val="minor"/>
      </rPr>
      <t>w</t>
    </r>
    <r>
      <rPr>
        <sz val="11"/>
        <color theme="1"/>
        <rFont val="Calibri"/>
        <family val="2"/>
        <scheme val="minor"/>
      </rPr>
      <t xml:space="preserve">  Load width perpendicular to direction of travel (in)</t>
    </r>
  </si>
  <si>
    <r>
      <t>h</t>
    </r>
    <r>
      <rPr>
        <vertAlign val="subscript"/>
        <sz val="11"/>
        <color theme="1"/>
        <rFont val="Calibri"/>
        <family val="2"/>
        <scheme val="minor"/>
      </rPr>
      <t>int</t>
    </r>
    <r>
      <rPr>
        <sz val="11"/>
        <color theme="1"/>
        <rFont val="Calibri"/>
        <family val="2"/>
        <scheme val="minor"/>
      </rPr>
      <t xml:space="preserve"> (in)</t>
    </r>
  </si>
  <si>
    <r>
      <t>B</t>
    </r>
    <r>
      <rPr>
        <vertAlign val="subscript"/>
        <sz val="10"/>
        <color theme="1"/>
        <rFont val="Arial"/>
        <family val="2"/>
      </rPr>
      <t>c</t>
    </r>
    <r>
      <rPr>
        <sz val="10"/>
        <color theme="1"/>
        <rFont val="Arial"/>
        <family val="2"/>
      </rPr>
      <t xml:space="preserve"> O.D. or outside span length of the liner (ft)</t>
    </r>
  </si>
  <si>
    <t>Figure 8-1</t>
  </si>
  <si>
    <r>
      <t>H</t>
    </r>
    <r>
      <rPr>
        <vertAlign val="subscript"/>
        <sz val="10"/>
        <color theme="1"/>
        <rFont val="Arial"/>
        <family val="2"/>
      </rPr>
      <t>r</t>
    </r>
    <r>
      <rPr>
        <sz val="10"/>
        <color theme="1"/>
        <rFont val="Arial"/>
        <family val="2"/>
      </rPr>
      <t xml:space="preserve"> height of the vertical dimension of the pipe (ft).</t>
    </r>
  </si>
  <si>
    <r>
      <t>P</t>
    </r>
    <r>
      <rPr>
        <vertAlign val="subscript"/>
        <sz val="10"/>
        <color theme="1"/>
        <rFont val="Arial"/>
        <family val="2"/>
      </rPr>
      <t>E</t>
    </r>
    <r>
      <rPr>
        <sz val="10"/>
        <color theme="1"/>
        <rFont val="Arial"/>
        <family val="2"/>
      </rPr>
      <t xml:space="preserve">  earth load acting on the horizontal soil plane at the top of the pipe (psi) - No groundwater</t>
    </r>
  </si>
  <si>
    <r>
      <t>P</t>
    </r>
    <r>
      <rPr>
        <vertAlign val="subscript"/>
        <sz val="10"/>
        <color theme="1"/>
        <rFont val="Arial"/>
        <family val="2"/>
      </rPr>
      <t>E</t>
    </r>
    <r>
      <rPr>
        <sz val="10"/>
        <color theme="1"/>
        <rFont val="Arial"/>
        <family val="2"/>
      </rPr>
      <t xml:space="preserve">  earth load acting on the horizontal soil plane at the top of the pipe (psi) - With groundwater</t>
    </r>
  </si>
  <si>
    <r>
      <t>P</t>
    </r>
    <r>
      <rPr>
        <vertAlign val="subscript"/>
        <sz val="11"/>
        <color theme="1"/>
        <rFont val="Calibri"/>
        <family val="2"/>
        <scheme val="minor"/>
      </rPr>
      <t>w</t>
    </r>
    <r>
      <rPr>
        <sz val="11"/>
        <color theme="1"/>
        <rFont val="Calibri"/>
        <family val="2"/>
        <scheme val="minor"/>
      </rPr>
      <t xml:space="preserve">  external hydrostatic pressure acting on the pipe (psi)</t>
    </r>
  </si>
  <si>
    <t>Figure 8-2</t>
  </si>
  <si>
    <t>Design Assumptions (Cementitious Liner):</t>
  </si>
  <si>
    <t>Results (Cementitious Liner)</t>
  </si>
  <si>
    <t>Design (Cementitious Liner):</t>
  </si>
  <si>
    <r>
      <t>P</t>
    </r>
    <r>
      <rPr>
        <vertAlign val="subscript"/>
        <sz val="10"/>
        <color theme="1"/>
        <rFont val="Arial"/>
        <family val="2"/>
      </rPr>
      <t>E</t>
    </r>
    <r>
      <rPr>
        <sz val="10"/>
        <color theme="1"/>
        <rFont val="Arial"/>
        <family val="2"/>
      </rPr>
      <t xml:space="preserve">  earth load acting on the horizontal soil plane at the top of the pipe (psi)</t>
    </r>
  </si>
  <si>
    <r>
      <t>C</t>
    </r>
    <r>
      <rPr>
        <vertAlign val="subscript"/>
        <sz val="11"/>
        <color theme="1"/>
        <rFont val="Arial"/>
        <family val="2"/>
      </rPr>
      <t>L</t>
    </r>
    <r>
      <rPr>
        <sz val="11"/>
        <color theme="1"/>
        <rFont val="Arial"/>
        <family val="2"/>
      </rPr>
      <t xml:space="preserve">  live load distribution coefficient (in.), is equal to lw / S ≤ 1.0</t>
    </r>
  </si>
  <si>
    <t>S  span of culvert (in)</t>
  </si>
  <si>
    <t>Figure 8-3</t>
  </si>
  <si>
    <r>
      <t>B</t>
    </r>
    <r>
      <rPr>
        <vertAlign val="subscript"/>
        <sz val="10"/>
        <color theme="1"/>
        <rFont val="Arial"/>
        <family val="2"/>
      </rPr>
      <t>c</t>
    </r>
    <r>
      <rPr>
        <sz val="10"/>
        <color theme="1"/>
        <rFont val="Arial"/>
        <family val="2"/>
      </rPr>
      <t xml:space="preserve">  outside span length of the liner (ft)</t>
    </r>
  </si>
  <si>
    <t>Circular Pipe - Cementitious</t>
  </si>
  <si>
    <t>Arch Pipe - Cementitious</t>
  </si>
  <si>
    <t>Multiple Span</t>
  </si>
  <si>
    <t xml:space="preserve">Select if it is a Single Span culvert or Multiple Span culverts? </t>
  </si>
  <si>
    <t>Single Span</t>
  </si>
  <si>
    <t>Span  Clear span of the culvert (in)   See figure 8-2</t>
  </si>
  <si>
    <t>Pipe Arch Size (in.)</t>
  </si>
  <si>
    <r>
      <t>Cross-sectional Area (ft</t>
    </r>
    <r>
      <rPr>
        <b/>
        <vertAlign val="superscript"/>
        <sz val="10"/>
        <color rgb="FF555555"/>
        <rFont val="Arial"/>
        <family val="2"/>
      </rPr>
      <t>2</t>
    </r>
    <r>
      <rPr>
        <b/>
        <sz val="10"/>
        <color rgb="FF555555"/>
        <rFont val="Arial"/>
        <family val="2"/>
      </rPr>
      <t>)</t>
    </r>
  </si>
  <si>
    <t>17 x 13</t>
  </si>
  <si>
    <t>21 x 15</t>
  </si>
  <si>
    <t>20 x 16</t>
  </si>
  <si>
    <t>23 x 19</t>
  </si>
  <si>
    <t>24 x 18</t>
  </si>
  <si>
    <t>27 x 21</t>
  </si>
  <si>
    <t>28 x 20</t>
  </si>
  <si>
    <t>33 x 26</t>
  </si>
  <si>
    <t>35 x 24</t>
  </si>
  <si>
    <t>40 x 31</t>
  </si>
  <si>
    <t>42 x 29</t>
  </si>
  <si>
    <t>46 x 36</t>
  </si>
  <si>
    <t>49 x 33</t>
  </si>
  <si>
    <t>53 x 41</t>
  </si>
  <si>
    <t>57 x 38</t>
  </si>
  <si>
    <t>60 x 46</t>
  </si>
  <si>
    <t>64 x 43</t>
  </si>
  <si>
    <t>66 x 51</t>
  </si>
  <si>
    <t>71 x 47</t>
  </si>
  <si>
    <t>73 x 55</t>
  </si>
  <si>
    <t>77 x 52</t>
  </si>
  <si>
    <t>81 x 59</t>
  </si>
  <si>
    <t>83 x 57</t>
  </si>
  <si>
    <t>87 x 63</t>
  </si>
  <si>
    <t>95 x 67</t>
  </si>
  <si>
    <t>103 x 71</t>
  </si>
  <si>
    <t>112 x 75</t>
  </si>
  <si>
    <t>117 x 79</t>
  </si>
  <si>
    <t>128 x 83</t>
  </si>
  <si>
    <t>137 x 87</t>
  </si>
  <si>
    <t>142 x 91</t>
  </si>
  <si>
    <t>Top Radius</t>
  </si>
  <si>
    <t>Bottom Radius</t>
  </si>
  <si>
    <t>Project:</t>
  </si>
  <si>
    <r>
      <t>D</t>
    </r>
    <r>
      <rPr>
        <vertAlign val="subscript"/>
        <sz val="10"/>
        <color theme="1"/>
        <rFont val="Arial"/>
        <family val="2"/>
      </rPr>
      <t>o</t>
    </r>
    <r>
      <rPr>
        <sz val="10"/>
        <color theme="1"/>
        <rFont val="Arial"/>
        <family val="2"/>
      </rPr>
      <t xml:space="preserve">  outside diameter of liner (in)</t>
    </r>
  </si>
  <si>
    <t>Design Assumptions (Flexible Polymeric Liner):</t>
  </si>
  <si>
    <t>r  mean radius of liner = (OD-t)/2  (in)</t>
  </si>
  <si>
    <t>Results</t>
  </si>
  <si>
    <t>Deflection Verification</t>
  </si>
  <si>
    <t>R  radius of the arc where the blister develops, (in)</t>
  </si>
  <si>
    <t>Design Assumptions (Flexible Polymeric Materials):</t>
  </si>
  <si>
    <t>Results (Flexible Polymeric Materials):</t>
  </si>
  <si>
    <r>
      <t>p</t>
    </r>
    <r>
      <rPr>
        <vertAlign val="subscript"/>
        <sz val="11"/>
        <color theme="1"/>
        <rFont val="Arial"/>
        <family val="2"/>
      </rPr>
      <t xml:space="preserve">cr </t>
    </r>
    <r>
      <rPr>
        <sz val="11"/>
        <color theme="1"/>
        <rFont val="Arial"/>
        <family val="2"/>
      </rPr>
      <t>= 0.60 E</t>
    </r>
    <r>
      <rPr>
        <vertAlign val="subscript"/>
        <sz val="11"/>
        <color theme="1"/>
        <rFont val="Arial"/>
        <family val="2"/>
      </rPr>
      <t>SAPL</t>
    </r>
    <r>
      <rPr>
        <sz val="11"/>
        <color theme="1"/>
        <rFont val="Arial"/>
        <family val="2"/>
      </rPr>
      <t xml:space="preserve">  t</t>
    </r>
    <r>
      <rPr>
        <vertAlign val="superscript"/>
        <sz val="11"/>
        <color theme="1"/>
        <rFont val="Arial"/>
        <family val="2"/>
      </rPr>
      <t xml:space="preserve">2.2 </t>
    </r>
    <r>
      <rPr>
        <sz val="11"/>
        <color theme="1"/>
        <rFont val="Arial"/>
        <family val="2"/>
      </rPr>
      <t>/ (P</t>
    </r>
    <r>
      <rPr>
        <vertAlign val="superscript"/>
        <sz val="11"/>
        <color theme="1"/>
        <rFont val="Arial"/>
        <family val="2"/>
      </rPr>
      <t>2⁄5</t>
    </r>
    <r>
      <rPr>
        <sz val="11"/>
        <color theme="1"/>
        <rFont val="Arial"/>
        <family val="2"/>
      </rPr>
      <t xml:space="preserve"> R</t>
    </r>
    <r>
      <rPr>
        <vertAlign val="subscript"/>
        <sz val="11"/>
        <color theme="1"/>
        <rFont val="Arial"/>
        <family val="2"/>
      </rPr>
      <t>bottom</t>
    </r>
    <r>
      <rPr>
        <vertAlign val="superscript"/>
        <sz val="11"/>
        <color theme="1"/>
        <rFont val="Arial"/>
        <family val="2"/>
      </rPr>
      <t>9⁄5</t>
    </r>
    <r>
      <rPr>
        <sz val="11"/>
        <color theme="1"/>
        <rFont val="Arial"/>
        <family val="2"/>
      </rPr>
      <t xml:space="preserve"> )  (psi)</t>
    </r>
  </si>
  <si>
    <r>
      <t>d</t>
    </r>
    <r>
      <rPr>
        <vertAlign val="subscript"/>
        <sz val="11"/>
        <color theme="1"/>
        <rFont val="Arial"/>
        <family val="2"/>
      </rPr>
      <t>cr</t>
    </r>
    <r>
      <rPr>
        <sz val="11"/>
        <color theme="1"/>
        <rFont val="Arial"/>
        <family val="2"/>
      </rPr>
      <t>=0.5 Γ</t>
    </r>
    <r>
      <rPr>
        <vertAlign val="subscript"/>
        <sz val="11"/>
        <color theme="1"/>
        <rFont val="Arial"/>
        <family val="2"/>
      </rPr>
      <t>(d,g)</t>
    </r>
    <r>
      <rPr>
        <sz val="11"/>
        <color theme="1"/>
        <rFont val="Arial"/>
        <family val="2"/>
      </rPr>
      <t xml:space="preserve">  R</t>
    </r>
    <r>
      <rPr>
        <vertAlign val="subscript"/>
        <sz val="11"/>
        <color theme="1"/>
        <rFont val="Arial"/>
        <family val="2"/>
      </rPr>
      <t>bottom</t>
    </r>
    <r>
      <rPr>
        <sz val="11"/>
        <color theme="1"/>
        <rFont val="Arial"/>
        <family val="2"/>
      </rPr>
      <t>/k</t>
    </r>
    <r>
      <rPr>
        <vertAlign val="superscript"/>
        <sz val="11"/>
        <color theme="1"/>
        <rFont val="Arial"/>
        <family val="2"/>
      </rPr>
      <t>(2⁄5)</t>
    </r>
    <r>
      <rPr>
        <sz val="11"/>
        <color theme="1"/>
        <rFont val="Arial"/>
        <family val="2"/>
      </rPr>
      <t xml:space="preserve">  ((t</t>
    </r>
    <r>
      <rPr>
        <vertAlign val="superscript"/>
        <sz val="11"/>
        <color theme="1"/>
        <rFont val="Arial"/>
        <family val="2"/>
      </rPr>
      <t xml:space="preserve">2 </t>
    </r>
    <r>
      <rPr>
        <sz val="11"/>
        <color theme="1"/>
        <rFont val="Arial"/>
        <family val="2"/>
      </rPr>
      <t>P)/(R</t>
    </r>
    <r>
      <rPr>
        <vertAlign val="subscript"/>
        <sz val="11"/>
        <color theme="1"/>
        <rFont val="Arial"/>
        <family val="2"/>
      </rPr>
      <t>bottom</t>
    </r>
    <r>
      <rPr>
        <sz val="11"/>
        <color theme="1"/>
        <rFont val="Arial"/>
        <family val="2"/>
      </rPr>
      <t xml:space="preserve"> )</t>
    </r>
    <r>
      <rPr>
        <vertAlign val="superscript"/>
        <sz val="11"/>
        <color theme="1"/>
        <rFont val="Arial"/>
        <family val="2"/>
      </rPr>
      <t>3</t>
    </r>
    <r>
      <rPr>
        <sz val="11"/>
        <color theme="1"/>
        <rFont val="Arial"/>
        <family val="2"/>
      </rPr>
      <t xml:space="preserve"> )</t>
    </r>
    <r>
      <rPr>
        <vertAlign val="superscript"/>
        <sz val="11"/>
        <color theme="1"/>
        <rFont val="Arial"/>
        <family val="2"/>
      </rPr>
      <t xml:space="preserve">(2⁄5)  </t>
    </r>
    <r>
      <rPr>
        <sz val="11"/>
        <color theme="1"/>
        <rFont val="Arial"/>
        <family val="2"/>
      </rPr>
      <t>(in)</t>
    </r>
  </si>
  <si>
    <t>M_cr=0.1Γ_(M,g)  (E_SAPL (t)^3)/R_bottom   ()</t>
  </si>
  <si>
    <t>N_cr=1.26p_cr R_bottom</t>
  </si>
  <si>
    <t>M_u=(m_b (p⁄p_cr )M_cr)/(1-(1-m_b)〖(p⁄p_cr )〗^2 )</t>
  </si>
  <si>
    <t>m_b=(2.56〖(α⁄α_cr )〗^2)/(1+4.35〖(α⁄α_cr )〗^5 )</t>
  </si>
  <si>
    <t xml:space="preserve">N_u=p/p_cr  N_cr </t>
  </si>
  <si>
    <t>σ_u=σ_(u,b)+σ_(u,d)</t>
  </si>
  <si>
    <t xml:space="preserve">σ_(u,b)=(6M_u)/t^2 </t>
  </si>
  <si>
    <t xml:space="preserve">σ_(u,d)=N_u/A  </t>
  </si>
  <si>
    <t>d_s=d_cr [1- (1-p/p_cr )^0.5 ]     (in)</t>
  </si>
  <si>
    <t>Figure 8-4</t>
  </si>
  <si>
    <t>Delaware Department of Transportation</t>
  </si>
  <si>
    <t>Minnesota Department of Transportation</t>
  </si>
  <si>
    <t>North Carolina Department of Transportation</t>
  </si>
  <si>
    <t>Ohio Department of Transportation</t>
  </si>
  <si>
    <t>New York State Department of Transportation</t>
  </si>
  <si>
    <t>Pennsylvania Department of Transportation</t>
  </si>
  <si>
    <t>Florida Department of Transportation</t>
  </si>
  <si>
    <t>DOT:</t>
  </si>
  <si>
    <t>Select DOT</t>
  </si>
  <si>
    <t>Latitude:</t>
  </si>
  <si>
    <t>Longitude:</t>
  </si>
  <si>
    <t>Circular Corrugated Metal Pipe</t>
  </si>
  <si>
    <t>lb</t>
  </si>
  <si>
    <t>pcf</t>
  </si>
  <si>
    <t>psf</t>
  </si>
  <si>
    <t>ft</t>
  </si>
  <si>
    <r>
      <t>in</t>
    </r>
    <r>
      <rPr>
        <vertAlign val="superscript"/>
        <sz val="11"/>
        <color theme="1"/>
        <rFont val="Arial"/>
        <family val="2"/>
      </rPr>
      <t>4</t>
    </r>
    <r>
      <rPr>
        <sz val="11"/>
        <color theme="1"/>
        <rFont val="Arial"/>
        <family val="2"/>
      </rPr>
      <t>/in</t>
    </r>
  </si>
  <si>
    <t>psi</t>
  </si>
  <si>
    <t>Arch Corrugated Metal Pipe</t>
  </si>
  <si>
    <t>Select Standard Pipe Arch Sizes</t>
  </si>
  <si>
    <t>Pipe Arch - Top Radius</t>
  </si>
  <si>
    <t>Pipe Arch - Bottom Radius</t>
  </si>
  <si>
    <t>Pipe Arch - Span</t>
  </si>
  <si>
    <t>Pipe Arch - Rise</t>
  </si>
  <si>
    <t>ksi</t>
  </si>
  <si>
    <t>%</t>
  </si>
  <si>
    <t>R  radius of liner measured to the centroid of liner profile</t>
  </si>
  <si>
    <t>Di  inner diameter of the liner</t>
  </si>
  <si>
    <t>degree°</t>
  </si>
  <si>
    <t>Top Radius (in)</t>
  </si>
  <si>
    <t>Bottom Radius (in)</t>
  </si>
  <si>
    <t>Bottom Corner Radius (in)</t>
  </si>
  <si>
    <t>Springline Rise, B (in)</t>
  </si>
  <si>
    <t>in.</t>
  </si>
  <si>
    <t>lb/in.</t>
  </si>
  <si>
    <r>
      <t>in.</t>
    </r>
    <r>
      <rPr>
        <vertAlign val="superscript"/>
        <sz val="11"/>
        <color theme="1"/>
        <rFont val="Arial"/>
        <family val="2"/>
      </rPr>
      <t>2</t>
    </r>
    <r>
      <rPr>
        <sz val="11"/>
        <color theme="1"/>
        <rFont val="Arial"/>
        <family val="2"/>
      </rPr>
      <t>/in.</t>
    </r>
  </si>
  <si>
    <t>in.-lbs/in.</t>
  </si>
  <si>
    <t>-2kµ'H/Bc</t>
  </si>
  <si>
    <t>Service</t>
  </si>
  <si>
    <t>r  top radius of the liner structure measured to the centroid of the liner's profile</t>
  </si>
  <si>
    <t>Strength</t>
  </si>
  <si>
    <t>Strength limit state for global buckling</t>
  </si>
  <si>
    <t>in./in.</t>
  </si>
  <si>
    <t>Strength limit state for flexure</t>
  </si>
  <si>
    <r>
      <t>P =  (0.433∙H</t>
    </r>
    <r>
      <rPr>
        <vertAlign val="subscript"/>
        <sz val="11"/>
        <color theme="1"/>
        <rFont val="Arial"/>
        <family val="2"/>
      </rPr>
      <t>w</t>
    </r>
    <r>
      <rPr>
        <sz val="11"/>
        <color theme="1"/>
        <rFont val="Arial"/>
        <family val="2"/>
      </rPr>
      <t xml:space="preserve"> ) + R</t>
    </r>
    <r>
      <rPr>
        <vertAlign val="subscript"/>
        <sz val="11"/>
        <color theme="1"/>
        <rFont val="Arial"/>
        <family val="2"/>
      </rPr>
      <t>top</t>
    </r>
    <r>
      <rPr>
        <sz val="11"/>
        <color theme="1"/>
        <rFont val="Arial"/>
        <family val="2"/>
      </rPr>
      <t>/R</t>
    </r>
    <r>
      <rPr>
        <vertAlign val="subscript"/>
        <sz val="11"/>
        <color theme="1"/>
        <rFont val="Arial"/>
        <family val="2"/>
      </rPr>
      <t>bottom</t>
    </r>
    <r>
      <rPr>
        <sz val="11"/>
        <color theme="1"/>
        <rFont val="Arial"/>
        <family val="2"/>
      </rPr>
      <t xml:space="preserve"> (P</t>
    </r>
    <r>
      <rPr>
        <vertAlign val="subscript"/>
        <sz val="11"/>
        <color theme="1"/>
        <rFont val="Arial"/>
        <family val="2"/>
      </rPr>
      <t>E</t>
    </r>
    <r>
      <rPr>
        <sz val="11"/>
        <color theme="1"/>
        <rFont val="Arial"/>
        <family val="2"/>
      </rPr>
      <t>/144+C</t>
    </r>
    <r>
      <rPr>
        <vertAlign val="subscript"/>
        <sz val="11"/>
        <color theme="1"/>
        <rFont val="Arial"/>
        <family val="2"/>
      </rPr>
      <t>L</t>
    </r>
    <r>
      <rPr>
        <sz val="11"/>
        <color theme="1"/>
        <rFont val="Arial"/>
        <family val="2"/>
      </rPr>
      <t>∙P</t>
    </r>
    <r>
      <rPr>
        <vertAlign val="subscript"/>
        <sz val="11"/>
        <color theme="1"/>
        <rFont val="Arial"/>
        <family val="2"/>
      </rPr>
      <t>L</t>
    </r>
    <r>
      <rPr>
        <sz val="11"/>
        <color theme="1"/>
        <rFont val="Arial"/>
        <family val="2"/>
      </rPr>
      <t>)     (psi)</t>
    </r>
  </si>
  <si>
    <t>Input</t>
  </si>
  <si>
    <t>Output</t>
  </si>
  <si>
    <t>Structural Design for Liner Thickness Using Cementitious Materials</t>
  </si>
  <si>
    <t xml:space="preserve">Structural Design for Liner Thickness Using Flexible Polymeric Materials       </t>
  </si>
  <si>
    <t>Structural Design for Liner Thickness Using Flexible Polymeric Materials</t>
  </si>
  <si>
    <t>Circular Pipe - Polymeric</t>
  </si>
  <si>
    <t>Arch Pipe - Polymeric</t>
  </si>
  <si>
    <t>Trial:</t>
  </si>
  <si>
    <r>
      <t>B</t>
    </r>
    <r>
      <rPr>
        <vertAlign val="subscript"/>
        <sz val="11"/>
        <color theme="1"/>
        <rFont val="Arial"/>
        <family val="2"/>
      </rPr>
      <t>c</t>
    </r>
    <r>
      <rPr>
        <sz val="11"/>
        <color theme="1"/>
        <rFont val="Arial"/>
        <family val="2"/>
      </rPr>
      <t xml:space="preserve"> O.D. or outside span length of the liner (ft)</t>
    </r>
  </si>
  <si>
    <t>Select kµ'</t>
  </si>
  <si>
    <t>Yes</t>
  </si>
  <si>
    <t>No</t>
  </si>
  <si>
    <t>in.4/in.</t>
  </si>
  <si>
    <t>Assume only the liner above the corrugation crests is effective? Select Yes or No</t>
  </si>
  <si>
    <r>
      <t>M</t>
    </r>
    <r>
      <rPr>
        <b/>
        <vertAlign val="subscript"/>
        <sz val="11"/>
        <color rgb="FF0070C0"/>
        <rFont val="Arial"/>
        <family val="2"/>
      </rPr>
      <t>strengthe</t>
    </r>
    <r>
      <rPr>
        <b/>
        <sz val="11"/>
        <color rgb="FF0070C0"/>
        <rFont val="Arial"/>
        <family val="2"/>
      </rPr>
      <t xml:space="preserve">  moment</t>
    </r>
  </si>
  <si>
    <r>
      <t>R</t>
    </r>
    <r>
      <rPr>
        <b/>
        <vertAlign val="subscript"/>
        <sz val="11"/>
        <color rgb="FF0070C0"/>
        <rFont val="Arial"/>
        <family val="2"/>
      </rPr>
      <t xml:space="preserve">W  </t>
    </r>
    <r>
      <rPr>
        <b/>
        <sz val="11"/>
        <color rgb="FF0070C0"/>
        <rFont val="Arial"/>
        <family val="2"/>
      </rPr>
      <t>water buoyancy factor (0.67 minimum) = 1-0.33 (H</t>
    </r>
    <r>
      <rPr>
        <b/>
        <vertAlign val="subscript"/>
        <sz val="11"/>
        <color rgb="FF0070C0"/>
        <rFont val="Arial"/>
        <family val="2"/>
      </rPr>
      <t>W</t>
    </r>
    <r>
      <rPr>
        <b/>
        <sz val="11"/>
        <color rgb="FF0070C0"/>
        <rFont val="Arial"/>
        <family val="2"/>
      </rPr>
      <t>/H)</t>
    </r>
  </si>
  <si>
    <r>
      <t>ϕ</t>
    </r>
    <r>
      <rPr>
        <b/>
        <vertAlign val="subscript"/>
        <sz val="11"/>
        <color rgb="FF0070C0"/>
        <rFont val="Arial"/>
        <family val="2"/>
      </rPr>
      <t>f</t>
    </r>
    <r>
      <rPr>
        <b/>
        <sz val="11"/>
        <color rgb="FF0070C0"/>
        <rFont val="Arial"/>
        <family val="2"/>
      </rPr>
      <t xml:space="preserve"> S</t>
    </r>
    <r>
      <rPr>
        <b/>
        <vertAlign val="subscript"/>
        <sz val="11"/>
        <color rgb="FF0070C0"/>
        <rFont val="Arial"/>
        <family val="2"/>
      </rPr>
      <t>b</t>
    </r>
  </si>
  <si>
    <r>
      <t>α</t>
    </r>
    <r>
      <rPr>
        <b/>
        <vertAlign val="subscript"/>
        <sz val="11"/>
        <color rgb="FF0070C0"/>
        <rFont val="Arial"/>
        <family val="2"/>
      </rPr>
      <t xml:space="preserve">cr </t>
    </r>
    <r>
      <rPr>
        <b/>
        <sz val="11"/>
        <color rgb="FF0070C0"/>
        <rFont val="Arial"/>
        <family val="2"/>
      </rPr>
      <t>/ α</t>
    </r>
  </si>
  <si>
    <r>
      <t>ϕ</t>
    </r>
    <r>
      <rPr>
        <b/>
        <vertAlign val="subscript"/>
        <sz val="11"/>
        <color rgb="FF0070C0"/>
        <rFont val="Arial"/>
        <family val="2"/>
      </rPr>
      <t xml:space="preserve">bck </t>
    </r>
    <r>
      <rPr>
        <b/>
        <sz val="11"/>
        <color rgb="FF0070C0"/>
        <rFont val="Arial"/>
        <family val="2"/>
      </rPr>
      <t>p</t>
    </r>
    <r>
      <rPr>
        <b/>
        <vertAlign val="subscript"/>
        <sz val="11"/>
        <color rgb="FF0070C0"/>
        <rFont val="Arial"/>
        <family val="2"/>
      </rPr>
      <t>cr</t>
    </r>
    <r>
      <rPr>
        <b/>
        <sz val="11"/>
        <color rgb="FF0070C0"/>
        <rFont val="Arial"/>
        <family val="2"/>
      </rPr>
      <t xml:space="preserve">    </t>
    </r>
    <r>
      <rPr>
        <b/>
        <vertAlign val="subscript"/>
        <sz val="11"/>
        <color rgb="FF0070C0"/>
        <rFont val="Arial"/>
        <family val="2"/>
      </rPr>
      <t xml:space="preserve">   </t>
    </r>
    <r>
      <rPr>
        <b/>
        <sz val="11"/>
        <color rgb="FF0070C0"/>
        <rFont val="Arial"/>
        <family val="2"/>
      </rPr>
      <t xml:space="preserve"> </t>
    </r>
  </si>
  <si>
    <r>
      <t>ϕ</t>
    </r>
    <r>
      <rPr>
        <b/>
        <vertAlign val="subscript"/>
        <sz val="11"/>
        <color rgb="FF0070C0"/>
        <rFont val="Arial"/>
        <family val="2"/>
      </rPr>
      <t xml:space="preserve">M </t>
    </r>
    <r>
      <rPr>
        <b/>
        <sz val="11"/>
        <color rgb="FF0070C0"/>
        <rFont val="Arial"/>
        <family val="2"/>
      </rPr>
      <t>σ</t>
    </r>
    <r>
      <rPr>
        <b/>
        <vertAlign val="subscript"/>
        <sz val="11"/>
        <color rgb="FF0070C0"/>
        <rFont val="Arial"/>
        <family val="2"/>
      </rPr>
      <t xml:space="preserve">R  </t>
    </r>
    <r>
      <rPr>
        <b/>
        <sz val="11"/>
        <color rgb="FF0070C0"/>
        <rFont val="Arial"/>
        <family val="2"/>
      </rPr>
      <t xml:space="preserve"> </t>
    </r>
  </si>
  <si>
    <r>
      <t>σ</t>
    </r>
    <r>
      <rPr>
        <b/>
        <vertAlign val="subscript"/>
        <sz val="11"/>
        <color rgb="FF0070C0"/>
        <rFont val="Arial"/>
        <family val="2"/>
      </rPr>
      <t>u</t>
    </r>
    <r>
      <rPr>
        <b/>
        <sz val="11"/>
        <color rgb="FF0070C0"/>
        <rFont val="Arial"/>
        <family val="2"/>
      </rPr>
      <t>= σ</t>
    </r>
    <r>
      <rPr>
        <b/>
        <vertAlign val="subscript"/>
        <sz val="11"/>
        <color rgb="FF0070C0"/>
        <rFont val="Arial"/>
        <family val="2"/>
      </rPr>
      <t>(u,b)</t>
    </r>
    <r>
      <rPr>
        <b/>
        <sz val="11"/>
        <color rgb="FF0070C0"/>
        <rFont val="Arial"/>
        <family val="2"/>
      </rPr>
      <t>+σ</t>
    </r>
    <r>
      <rPr>
        <b/>
        <vertAlign val="subscript"/>
        <sz val="11"/>
        <color rgb="FF0070C0"/>
        <rFont val="Arial"/>
        <family val="2"/>
      </rPr>
      <t xml:space="preserve">(u,d)     </t>
    </r>
  </si>
  <si>
    <r>
      <rPr>
        <b/>
        <sz val="11"/>
        <color rgb="FF0070C0"/>
        <rFont val="Arial"/>
        <family val="2"/>
      </rPr>
      <t>c  Soil Cohesion</t>
    </r>
    <r>
      <rPr>
        <b/>
        <sz val="10"/>
        <color rgb="FF0070C0"/>
        <rFont val="Arial"/>
        <family val="2"/>
      </rPr>
      <t xml:space="preserve">  </t>
    </r>
    <r>
      <rPr>
        <sz val="10"/>
        <color theme="1"/>
        <rFont val="Arial"/>
        <family val="2"/>
      </rPr>
      <t xml:space="preserve">                                                                                                                                                                                                                                                                                                                                   </t>
    </r>
    <r>
      <rPr>
        <i/>
        <sz val="10"/>
        <color theme="1"/>
        <rFont val="Arial"/>
        <family val="2"/>
      </rPr>
      <t>Cohesion per ASCE Manual of Practice (MOP) 60. Standard values:                                                                                                                                                                                                                                         Clay, very soft:  40 psf
Clay, medium: 250 psf
Clay, hard: 1,000 psf
Sand, loose dry: 0 psf
Sand, silty: 100 psf
Sand, dense: 300 psf</t>
    </r>
  </si>
  <si>
    <r>
      <rPr>
        <b/>
        <sz val="11"/>
        <color rgb="FF0070C0"/>
        <rFont val="Arial"/>
        <family val="2"/>
      </rPr>
      <t xml:space="preserve">Mp  Multiple Presence Factor, typically equal to 1.2 </t>
    </r>
    <r>
      <rPr>
        <sz val="10"/>
        <color rgb="FF0070C0"/>
        <rFont val="Arial"/>
        <family val="2"/>
      </rPr>
      <t xml:space="preserve">  </t>
    </r>
    <r>
      <rPr>
        <sz val="10"/>
        <color theme="1"/>
        <rFont val="Arial"/>
        <family val="2"/>
      </rPr>
      <t xml:space="preserve">                                                                                                                                                                                                                            </t>
    </r>
    <r>
      <rPr>
        <i/>
        <sz val="10"/>
        <color theme="1"/>
        <rFont val="Arial"/>
        <family val="2"/>
      </rPr>
      <t xml:space="preserve">Refer to AASHTO LRFD Bridge Design Specifications, 8th Ed.                                                                                                                                                                                                                Table 3.6.1.1.2.1.  </t>
    </r>
    <r>
      <rPr>
        <sz val="10"/>
        <color theme="1"/>
        <rFont val="Arial"/>
        <family val="2"/>
      </rPr>
      <t xml:space="preserve">                                                                                                                            </t>
    </r>
  </si>
  <si>
    <r>
      <rPr>
        <b/>
        <sz val="11"/>
        <color rgb="FF0070C0"/>
        <rFont val="Arial"/>
        <family val="2"/>
      </rPr>
      <t>P  Design Wheel Load</t>
    </r>
    <r>
      <rPr>
        <b/>
        <sz val="10"/>
        <color theme="1"/>
        <rFont val="Arial"/>
        <family val="2"/>
      </rPr>
      <t xml:space="preserve">  </t>
    </r>
    <r>
      <rPr>
        <sz val="10"/>
        <color theme="1"/>
        <rFont val="Arial"/>
        <family val="2"/>
      </rPr>
      <t xml:space="preserve">                                                                                                                                                                                                                                                                                                                   </t>
    </r>
    <r>
      <rPr>
        <i/>
        <sz val="10"/>
        <color theme="1"/>
        <rFont val="Arial"/>
        <family val="2"/>
      </rPr>
      <t xml:space="preserve">Refer to AASHTO Bridge Desgin Specifications, 8th Ed.,                                                                                                                                                                                                                         Section 3.6.1.2.6b.                                                                                                                                                                                                                                                                                                      P Load is the weight an AASHTO design truck imposes on a single wheel (or pair of wheels in the case of dual wheels).                                                                                                                                                                                                                                                                                                                                                                                                                                                                                                                                                                   Typical HL-93 Design Truck has 3 axles, front axle load of 8 kips, and two rear axles with a load of 32 kips each (rear wheel load of 16 kips each)                                                         </t>
    </r>
  </si>
  <si>
    <r>
      <rPr>
        <b/>
        <sz val="11"/>
        <color rgb="FF0070C0"/>
        <rFont val="Arial"/>
        <family val="2"/>
      </rPr>
      <t xml:space="preserve">LLDF  Live Load Distribution Factor  </t>
    </r>
    <r>
      <rPr>
        <sz val="10"/>
        <color theme="1"/>
        <rFont val="Arial"/>
        <family val="2"/>
      </rPr>
      <t xml:space="preserve">                                                                                                                                                                                                                                                                                                                     </t>
    </r>
    <r>
      <rPr>
        <i/>
        <sz val="10"/>
        <color theme="1"/>
        <rFont val="Arial"/>
        <family val="2"/>
      </rPr>
      <t>Refer to AASHTO Bridge Desgin Specifications, 8th Ed.,                                                                                                                                                                                                                                                                                                            Table 3.6.1.2.6a-1                                                                                                                                                                                                                                                                                                                         For Concrete Pipe with fill depth 2.0ft or greater, linearly interpolate between these limits:  
1.15 for diameter 2.0ft or less
1.75 for diameters 8.0ft or greater 
All other culverts and buried structures: 1.15</t>
    </r>
  </si>
  <si>
    <r>
      <t>δ</t>
    </r>
    <r>
      <rPr>
        <b/>
        <vertAlign val="subscript"/>
        <sz val="11"/>
        <color rgb="FF0070C0"/>
        <rFont val="Arial"/>
        <family val="2"/>
      </rPr>
      <t xml:space="preserve">soil </t>
    </r>
    <r>
      <rPr>
        <b/>
        <sz val="11"/>
        <color rgb="FF0070C0"/>
        <rFont val="Arial"/>
        <family val="2"/>
      </rPr>
      <t xml:space="preserve">  Soil Unit Weight</t>
    </r>
  </si>
  <si>
    <r>
      <t>D</t>
    </r>
    <r>
      <rPr>
        <b/>
        <vertAlign val="subscript"/>
        <sz val="11"/>
        <color rgb="FF0070C0"/>
        <rFont val="Arial"/>
        <family val="2"/>
      </rPr>
      <t xml:space="preserve">i  </t>
    </r>
    <r>
      <rPr>
        <b/>
        <sz val="11"/>
        <color rgb="FF0070C0"/>
        <rFont val="Arial"/>
        <family val="2"/>
      </rPr>
      <t>Inside Diameter or Clear Span of the Culvert</t>
    </r>
  </si>
  <si>
    <r>
      <rPr>
        <b/>
        <sz val="11"/>
        <color rgb="FF0070C0"/>
        <rFont val="Arial"/>
        <family val="2"/>
      </rPr>
      <t>kµ'  Select kµ' - Refer to Figure 9-13 in ASCE MOP 60</t>
    </r>
    <r>
      <rPr>
        <i/>
        <sz val="10"/>
        <color theme="1"/>
        <rFont val="Arial"/>
        <family val="2"/>
      </rPr>
      <t xml:space="preserve">       </t>
    </r>
    <r>
      <rPr>
        <sz val="11"/>
        <color theme="1"/>
        <rFont val="Arial"/>
        <family val="2"/>
      </rPr>
      <t xml:space="preserve">                                                                                                                                                                                                                                                               </t>
    </r>
    <r>
      <rPr>
        <i/>
        <sz val="10"/>
        <color theme="1"/>
        <rFont val="Arial"/>
        <family val="2"/>
      </rPr>
      <t xml:space="preserve">kµ'=0.1924 min for granular material without cohesion                                                                                                                                                                                                                             kµ'=0.165 max for sand and gravel                                                                                                                                                                                                                                                                        kµ'=0.150 max for saturated top soil  </t>
    </r>
    <r>
      <rPr>
        <sz val="10"/>
        <color theme="1"/>
        <rFont val="Arial"/>
        <family val="2"/>
      </rPr>
      <t xml:space="preserve">                                                                                                                                                                                                                                                                 kµ'=0.130 max for ordinary clay  </t>
    </r>
    <r>
      <rPr>
        <sz val="11"/>
        <color theme="1"/>
        <rFont val="Arial"/>
        <family val="2"/>
      </rPr>
      <t xml:space="preserve">                                                                                                                                                                                                                                                                            </t>
    </r>
    <r>
      <rPr>
        <i/>
        <sz val="10"/>
        <color theme="1"/>
        <rFont val="Arial"/>
        <family val="2"/>
      </rPr>
      <t xml:space="preserve">kµ'=0.110 max for saturated clay </t>
    </r>
    <r>
      <rPr>
        <sz val="11"/>
        <color theme="1"/>
        <rFont val="Arial"/>
        <family val="2"/>
      </rPr>
      <t xml:space="preserve">                                                                                                                                                                                                                                                                                                                                                                                                                                                     </t>
    </r>
  </si>
  <si>
    <r>
      <rPr>
        <b/>
        <sz val="11"/>
        <color rgb="FF0070C0"/>
        <rFont val="Arial"/>
        <family val="2"/>
      </rPr>
      <t>H</t>
    </r>
    <r>
      <rPr>
        <b/>
        <vertAlign val="subscript"/>
        <sz val="11"/>
        <color rgb="FF0070C0"/>
        <rFont val="Arial"/>
        <family val="2"/>
      </rPr>
      <t>w</t>
    </r>
    <r>
      <rPr>
        <b/>
        <sz val="11"/>
        <color rgb="FF0070C0"/>
        <rFont val="Arial"/>
        <family val="2"/>
      </rPr>
      <t xml:space="preserve">  Height of the Groundwater above the Top of the Pipe                                                                                                                                                                                                                            </t>
    </r>
    <r>
      <rPr>
        <i/>
        <sz val="10"/>
        <rFont val="Arial"/>
        <family val="2"/>
      </rPr>
      <t>See figure 8-2                                                                                                                                                                                                                                                                                                                   H</t>
    </r>
    <r>
      <rPr>
        <i/>
        <vertAlign val="subscript"/>
        <sz val="10"/>
        <rFont val="Arial"/>
        <family val="2"/>
      </rPr>
      <t>w</t>
    </r>
    <r>
      <rPr>
        <i/>
        <sz val="10"/>
        <rFont val="Arial"/>
        <family val="2"/>
      </rPr>
      <t xml:space="preserve"> = 0 if no groundwater                                                                                                                                                                                                                                                                                              </t>
    </r>
  </si>
  <si>
    <r>
      <rPr>
        <b/>
        <sz val="11"/>
        <color rgb="FF0070C0"/>
        <rFont val="Arial"/>
        <family val="2"/>
      </rPr>
      <t>C</t>
    </r>
    <r>
      <rPr>
        <b/>
        <vertAlign val="subscript"/>
        <sz val="11"/>
        <color rgb="FF0070C0"/>
        <rFont val="Arial"/>
        <family val="2"/>
      </rPr>
      <t>t</t>
    </r>
    <r>
      <rPr>
        <b/>
        <sz val="11"/>
        <color rgb="FF0070C0"/>
        <rFont val="Arial"/>
        <family val="2"/>
      </rPr>
      <t xml:space="preserve">  Coefficient </t>
    </r>
    <r>
      <rPr>
        <sz val="10"/>
        <color theme="1"/>
        <rFont val="Arial"/>
        <family val="2"/>
      </rPr>
      <t xml:space="preserve">                                                                                                                                                                                                                                                          </t>
    </r>
    <r>
      <rPr>
        <i/>
        <sz val="10"/>
        <color theme="1"/>
        <rFont val="Arial"/>
        <family val="2"/>
      </rPr>
      <t>(Figure 9-13 in ASCE MOP 60)</t>
    </r>
  </si>
  <si>
    <r>
      <t>P</t>
    </r>
    <r>
      <rPr>
        <b/>
        <vertAlign val="subscript"/>
        <sz val="11"/>
        <color rgb="FF0070C0"/>
        <rFont val="Arial"/>
        <family val="2"/>
      </rPr>
      <t>L</t>
    </r>
    <r>
      <rPr>
        <b/>
        <sz val="11"/>
        <color rgb="FF0070C0"/>
        <rFont val="Arial"/>
        <family val="2"/>
      </rPr>
      <t xml:space="preserve">  Live Load on Pipe</t>
    </r>
  </si>
  <si>
    <r>
      <rPr>
        <b/>
        <sz val="11"/>
        <color rgb="FF0070C0"/>
        <rFont val="Arial"/>
        <family val="2"/>
      </rPr>
      <t>t  Wall Thickness of the Liner</t>
    </r>
    <r>
      <rPr>
        <sz val="10"/>
        <color theme="1"/>
        <rFont val="Arial"/>
        <family val="2"/>
      </rPr>
      <t xml:space="preserve"> </t>
    </r>
    <r>
      <rPr>
        <i/>
        <sz val="10"/>
        <color theme="1"/>
        <rFont val="Arial"/>
        <family val="2"/>
      </rPr>
      <t xml:space="preserve">- See figure 8-3                                                                                                                                                                                                                                                   Note: Wall thickness is above the corrugation crests.   </t>
    </r>
    <r>
      <rPr>
        <sz val="10"/>
        <color theme="1"/>
        <rFont val="Arial"/>
        <family val="2"/>
      </rPr>
      <t xml:space="preserve">                               </t>
    </r>
  </si>
  <si>
    <r>
      <t>P</t>
    </r>
    <r>
      <rPr>
        <b/>
        <vertAlign val="subscript"/>
        <sz val="11"/>
        <color rgb="FF0070C0"/>
        <rFont val="Arial"/>
        <family val="2"/>
      </rPr>
      <t>w</t>
    </r>
    <r>
      <rPr>
        <b/>
        <sz val="11"/>
        <color rgb="FF0070C0"/>
        <rFont val="Arial"/>
        <family val="2"/>
      </rPr>
      <t xml:space="preserve">  External Hydrostatic Pressure acting on the Pipe</t>
    </r>
  </si>
  <si>
    <r>
      <rPr>
        <b/>
        <sz val="11"/>
        <color rgb="FF0070C0"/>
        <rFont val="Arial"/>
        <family val="2"/>
      </rPr>
      <t>σ</t>
    </r>
    <r>
      <rPr>
        <b/>
        <vertAlign val="subscript"/>
        <sz val="11"/>
        <color rgb="FF0070C0"/>
        <rFont val="Arial"/>
        <family val="2"/>
      </rPr>
      <t>CS</t>
    </r>
    <r>
      <rPr>
        <b/>
        <sz val="11"/>
        <color rgb="FF0070C0"/>
        <rFont val="Arial"/>
        <family val="2"/>
      </rPr>
      <t xml:space="preserve">  Compressive Stress Strength of the Liner Material  </t>
    </r>
    <r>
      <rPr>
        <sz val="10"/>
        <color theme="1"/>
        <rFont val="Arial"/>
        <family val="2"/>
      </rPr>
      <t xml:space="preserve">                                                                                                                                                                                                                                                                                         </t>
    </r>
    <r>
      <rPr>
        <i/>
        <sz val="10"/>
        <color theme="1"/>
        <rFont val="Arial"/>
        <family val="2"/>
      </rPr>
      <t>Compressive strength value to be provided by manufacturer in accordance with Pipe Liner Special Provision.</t>
    </r>
  </si>
  <si>
    <r>
      <rPr>
        <b/>
        <sz val="11"/>
        <color rgb="FF0070C0"/>
        <rFont val="Arial"/>
        <family val="2"/>
      </rPr>
      <t>σ</t>
    </r>
    <r>
      <rPr>
        <b/>
        <vertAlign val="subscript"/>
        <sz val="11"/>
        <color rgb="FF0070C0"/>
        <rFont val="Arial"/>
        <family val="2"/>
      </rPr>
      <t>flex</t>
    </r>
    <r>
      <rPr>
        <b/>
        <sz val="11"/>
        <color rgb="FF0070C0"/>
        <rFont val="Arial"/>
        <family val="2"/>
      </rPr>
      <t xml:space="preserve">  Flexural Stress Strength (Modulus of Rupture) of the Liner Material</t>
    </r>
    <r>
      <rPr>
        <sz val="10"/>
        <color theme="1"/>
        <rFont val="Arial"/>
        <family val="2"/>
      </rPr>
      <t xml:space="preserve">                                                                                                                                                                                                                                                                                                                                                          </t>
    </r>
    <r>
      <rPr>
        <i/>
        <sz val="10"/>
        <color theme="1"/>
        <rFont val="Arial"/>
        <family val="2"/>
      </rPr>
      <t>Flexural strength value to be provided by manufacturer in accordance with Pipe Liner Special Provision.</t>
    </r>
  </si>
  <si>
    <r>
      <t>γ</t>
    </r>
    <r>
      <rPr>
        <b/>
        <vertAlign val="subscript"/>
        <sz val="11"/>
        <color rgb="FF0070C0"/>
        <rFont val="Arial"/>
        <family val="2"/>
      </rPr>
      <t xml:space="preserve">EV  </t>
    </r>
    <r>
      <rPr>
        <b/>
        <sz val="11"/>
        <color rgb="FF0070C0"/>
        <rFont val="Arial"/>
        <family val="2"/>
      </rPr>
      <t>Load Factor for Soil Prism Load - Service, 1.0</t>
    </r>
  </si>
  <si>
    <r>
      <t>γ</t>
    </r>
    <r>
      <rPr>
        <b/>
        <vertAlign val="subscript"/>
        <sz val="11"/>
        <color rgb="FF0070C0"/>
        <rFont val="Arial"/>
        <family val="2"/>
      </rPr>
      <t xml:space="preserve">EV  </t>
    </r>
    <r>
      <rPr>
        <b/>
        <sz val="11"/>
        <color rgb="FF0070C0"/>
        <rFont val="Arial"/>
        <family val="2"/>
      </rPr>
      <t>Load Factor for Soil Prism Load - Strength, 1.30</t>
    </r>
  </si>
  <si>
    <r>
      <t>γ</t>
    </r>
    <r>
      <rPr>
        <b/>
        <vertAlign val="subscript"/>
        <sz val="11"/>
        <color rgb="FF0070C0"/>
        <rFont val="Arial"/>
        <family val="2"/>
      </rPr>
      <t>WA</t>
    </r>
    <r>
      <rPr>
        <b/>
        <sz val="11"/>
        <color rgb="FF0070C0"/>
        <rFont val="Arial"/>
        <family val="2"/>
      </rPr>
      <t xml:space="preserve"> Load Factor for Groundwater Load, 1.0</t>
    </r>
  </si>
  <si>
    <r>
      <t>γ</t>
    </r>
    <r>
      <rPr>
        <b/>
        <vertAlign val="subscript"/>
        <sz val="11"/>
        <color rgb="FF0070C0"/>
        <rFont val="Arial"/>
        <family val="2"/>
      </rPr>
      <t xml:space="preserve">LL </t>
    </r>
    <r>
      <rPr>
        <b/>
        <sz val="11"/>
        <color rgb="FF0070C0"/>
        <rFont val="Arial"/>
        <family val="2"/>
      </rPr>
      <t xml:space="preserve"> Load Factor for Live Load - Service, 1.0</t>
    </r>
  </si>
  <si>
    <r>
      <t>γ</t>
    </r>
    <r>
      <rPr>
        <b/>
        <vertAlign val="subscript"/>
        <sz val="11"/>
        <color rgb="FF0070C0"/>
        <rFont val="Arial"/>
        <family val="2"/>
      </rPr>
      <t>LL</t>
    </r>
    <r>
      <rPr>
        <b/>
        <sz val="11"/>
        <color rgb="FF0070C0"/>
        <rFont val="Arial"/>
        <family val="2"/>
      </rPr>
      <t xml:space="preserve">  Load Factor for Live Load - Strength, 1.75</t>
    </r>
  </si>
  <si>
    <r>
      <t>ƞ</t>
    </r>
    <r>
      <rPr>
        <b/>
        <vertAlign val="subscript"/>
        <sz val="11"/>
        <color rgb="FF0070C0"/>
        <rFont val="Arial"/>
        <family val="2"/>
      </rPr>
      <t xml:space="preserve">EV  </t>
    </r>
    <r>
      <rPr>
        <b/>
        <sz val="11"/>
        <color rgb="FF0070C0"/>
        <rFont val="Arial"/>
        <family val="2"/>
      </rPr>
      <t>Load Modifier for Soil Prism Load, use 1.0 per Article 1.3.2 of the BDS</t>
    </r>
  </si>
  <si>
    <r>
      <t>ƞ</t>
    </r>
    <r>
      <rPr>
        <b/>
        <vertAlign val="subscript"/>
        <sz val="11"/>
        <color rgb="FF0070C0"/>
        <rFont val="Arial"/>
        <family val="2"/>
      </rPr>
      <t xml:space="preserve">LL  </t>
    </r>
    <r>
      <rPr>
        <b/>
        <sz val="11"/>
        <color rgb="FF0070C0"/>
        <rFont val="Arial"/>
        <family val="2"/>
      </rPr>
      <t>Load Modifier for Live Load, use 1.0 per Article 1.3.2 of the BDS</t>
    </r>
  </si>
  <si>
    <r>
      <t>T</t>
    </r>
    <r>
      <rPr>
        <b/>
        <vertAlign val="subscript"/>
        <sz val="11"/>
        <color rgb="FF0070C0"/>
        <rFont val="Arial"/>
        <family val="2"/>
      </rPr>
      <t>service</t>
    </r>
    <r>
      <rPr>
        <b/>
        <sz val="11"/>
        <color rgb="FF0070C0"/>
        <rFont val="Arial"/>
        <family val="2"/>
      </rPr>
      <t xml:space="preserve">  Thrust in Liner</t>
    </r>
  </si>
  <si>
    <t>A  Area of the Cross-Section of the proposed Liner per linear inch</t>
  </si>
  <si>
    <r>
      <t>M</t>
    </r>
    <r>
      <rPr>
        <b/>
        <vertAlign val="subscript"/>
        <sz val="11"/>
        <color rgb="FF0070C0"/>
        <rFont val="Arial"/>
        <family val="2"/>
      </rPr>
      <t>service</t>
    </r>
    <r>
      <rPr>
        <b/>
        <sz val="11"/>
        <color rgb="FF0070C0"/>
        <rFont val="Arial"/>
        <family val="2"/>
      </rPr>
      <t xml:space="preserve">  Moment</t>
    </r>
  </si>
  <si>
    <r>
      <t>σ</t>
    </r>
    <r>
      <rPr>
        <b/>
        <vertAlign val="subscript"/>
        <sz val="11"/>
        <color rgb="FF0070C0"/>
        <rFont val="Arial"/>
        <family val="2"/>
      </rPr>
      <t>crown</t>
    </r>
    <r>
      <rPr>
        <b/>
        <sz val="11"/>
        <color rgb="FF0070C0"/>
        <rFont val="Arial"/>
        <family val="2"/>
      </rPr>
      <t xml:space="preserve">  Normal Stress (Service)</t>
    </r>
  </si>
  <si>
    <r>
      <t>T</t>
    </r>
    <r>
      <rPr>
        <b/>
        <vertAlign val="subscript"/>
        <sz val="11"/>
        <color rgb="FF0070C0"/>
        <rFont val="Arial"/>
        <family val="2"/>
      </rPr>
      <t>strength</t>
    </r>
    <r>
      <rPr>
        <b/>
        <sz val="11"/>
        <color rgb="FF0070C0"/>
        <rFont val="Arial"/>
        <family val="2"/>
      </rPr>
      <t xml:space="preserve">  Thrust in Liner</t>
    </r>
  </si>
  <si>
    <r>
      <t>M</t>
    </r>
    <r>
      <rPr>
        <b/>
        <vertAlign val="subscript"/>
        <sz val="11"/>
        <color rgb="FF0070C0"/>
        <rFont val="Arial"/>
        <family val="2"/>
      </rPr>
      <t>strength</t>
    </r>
    <r>
      <rPr>
        <b/>
        <sz val="11"/>
        <color rgb="FF0070C0"/>
        <rFont val="Arial"/>
        <family val="2"/>
      </rPr>
      <t xml:space="preserve">  Moment</t>
    </r>
  </si>
  <si>
    <r>
      <t>σ</t>
    </r>
    <r>
      <rPr>
        <b/>
        <vertAlign val="subscript"/>
        <sz val="11"/>
        <color rgb="FF0070C0"/>
        <rFont val="Arial"/>
        <family val="2"/>
      </rPr>
      <t>crown</t>
    </r>
    <r>
      <rPr>
        <b/>
        <sz val="11"/>
        <color rgb="FF0070C0"/>
        <rFont val="Arial"/>
        <family val="2"/>
      </rPr>
      <t xml:space="preserve">  Normal Stress (Strength)</t>
    </r>
  </si>
  <si>
    <r>
      <rPr>
        <b/>
        <sz val="11"/>
        <color rgb="FF0070C0"/>
        <rFont val="Arial"/>
        <family val="2"/>
      </rPr>
      <t xml:space="preserve">h  Depth of Cover over Culvert                                                                                                                                                                                                                                                                                                                                                                                    </t>
    </r>
    <r>
      <rPr>
        <i/>
        <sz val="10"/>
        <color theme="1"/>
        <rFont val="Arial"/>
        <family val="2"/>
      </rPr>
      <t>Distance from top of the pipe to top of the soil</t>
    </r>
  </si>
  <si>
    <r>
      <rPr>
        <b/>
        <sz val="11"/>
        <color rgb="FF0070C0"/>
        <rFont val="Arial"/>
        <family val="2"/>
      </rPr>
      <t xml:space="preserve">LLDF  Live Load Distribution Factor  </t>
    </r>
    <r>
      <rPr>
        <sz val="10"/>
        <color theme="1"/>
        <rFont val="Arial"/>
        <family val="2"/>
      </rPr>
      <t xml:space="preserve">                                                                                                                                                                                                                                                                                                                     </t>
    </r>
    <r>
      <rPr>
        <i/>
        <sz val="10"/>
        <color theme="1"/>
        <rFont val="Arial"/>
        <family val="2"/>
      </rPr>
      <t>Refer to AASHTO Bridge Desgin Specifications, 8th Ed.,                                                                                                                                                                                                                                                                                                            table 3.6.1.2.6a-1                                                                                                                                                                                                                                                                                                                         For Concrete Pipe with fill depth 2.0ft or greater, linearly interpolate between these limits:  
1.15 for diameter 2.0ft or less
1.75 for diameters 8.0ft or greater 
All other culverts and buried structures: 1.15</t>
    </r>
  </si>
  <si>
    <r>
      <rPr>
        <b/>
        <sz val="11"/>
        <color rgb="FF0070C0"/>
        <rFont val="Arial"/>
        <family val="2"/>
      </rPr>
      <t>Sw  Spacing between the Wheel Pairs on the Axle</t>
    </r>
    <r>
      <rPr>
        <sz val="11"/>
        <color theme="1"/>
        <rFont val="Arial"/>
        <family val="2"/>
      </rPr>
      <t xml:space="preserve">                                                                                                                                                                                                                                                                                                                                            </t>
    </r>
    <r>
      <rPr>
        <i/>
        <sz val="10"/>
        <color theme="1"/>
        <rFont val="Arial"/>
        <family val="2"/>
      </rPr>
      <t>Refer to AASHTO LRFD Bridge Design Specifications, 8th Ed.  Section 3.6.1.2.3.</t>
    </r>
  </si>
  <si>
    <r>
      <rPr>
        <b/>
        <sz val="11"/>
        <color rgb="FF0070C0"/>
        <rFont val="Arial"/>
        <family val="2"/>
      </rPr>
      <t>H</t>
    </r>
    <r>
      <rPr>
        <b/>
        <vertAlign val="subscript"/>
        <sz val="11"/>
        <color rgb="FF0070C0"/>
        <rFont val="Arial"/>
        <family val="2"/>
      </rPr>
      <t>w</t>
    </r>
    <r>
      <rPr>
        <b/>
        <sz val="11"/>
        <color rgb="FF0070C0"/>
        <rFont val="Arial"/>
        <family val="2"/>
      </rPr>
      <t xml:space="preserve">  Height of the Groundwater above the Top of the Pipe                                                                                                                                                                                                                            </t>
    </r>
    <r>
      <rPr>
        <i/>
        <sz val="10"/>
        <rFont val="Arial"/>
        <family val="2"/>
      </rPr>
      <t xml:space="preserve">                                                                                                                                                                                                                                                                                                                  H</t>
    </r>
    <r>
      <rPr>
        <i/>
        <vertAlign val="subscript"/>
        <sz val="10"/>
        <rFont val="Arial"/>
        <family val="2"/>
      </rPr>
      <t>w</t>
    </r>
    <r>
      <rPr>
        <i/>
        <sz val="10"/>
        <rFont val="Arial"/>
        <family val="2"/>
      </rPr>
      <t xml:space="preserve"> = 0 if no groundwater                                                                                                                                                                                                                                                                                              </t>
    </r>
  </si>
  <si>
    <r>
      <t>P</t>
    </r>
    <r>
      <rPr>
        <b/>
        <vertAlign val="subscript"/>
        <sz val="11"/>
        <color rgb="FF0070C0"/>
        <rFont val="Arial"/>
        <family val="2"/>
      </rPr>
      <t>E</t>
    </r>
    <r>
      <rPr>
        <b/>
        <sz val="11"/>
        <color rgb="FF0070C0"/>
        <rFont val="Arial"/>
        <family val="2"/>
      </rPr>
      <t xml:space="preserve">  Earth Load acting on the Horizontal Soil Plane at the Top of the Pipe</t>
    </r>
  </si>
  <si>
    <r>
      <t>T</t>
    </r>
    <r>
      <rPr>
        <b/>
        <vertAlign val="subscript"/>
        <sz val="11"/>
        <color rgb="FF0070C0"/>
        <rFont val="Arial"/>
        <family val="2"/>
      </rPr>
      <t xml:space="preserve">service </t>
    </r>
    <r>
      <rPr>
        <b/>
        <sz val="11"/>
        <color rgb="FF0070C0"/>
        <rFont val="Arial"/>
        <family val="2"/>
      </rPr>
      <t xml:space="preserve"> Thrust in Liner</t>
    </r>
  </si>
  <si>
    <r>
      <t>σ</t>
    </r>
    <r>
      <rPr>
        <b/>
        <vertAlign val="subscript"/>
        <sz val="11"/>
        <color rgb="FF0070C0"/>
        <rFont val="Arial"/>
        <family val="2"/>
      </rPr>
      <t xml:space="preserve">crown  </t>
    </r>
    <r>
      <rPr>
        <b/>
        <sz val="11"/>
        <color rgb="FF0070C0"/>
        <rFont val="Arial"/>
        <family val="2"/>
      </rPr>
      <t>Normal Stress (Service)</t>
    </r>
  </si>
  <si>
    <r>
      <t>T</t>
    </r>
    <r>
      <rPr>
        <b/>
        <vertAlign val="subscript"/>
        <sz val="11"/>
        <color rgb="FF0070C0"/>
        <rFont val="Arial"/>
        <family val="2"/>
      </rPr>
      <t xml:space="preserve">strength </t>
    </r>
    <r>
      <rPr>
        <b/>
        <sz val="11"/>
        <color rgb="FF0070C0"/>
        <rFont val="Arial"/>
        <family val="2"/>
      </rPr>
      <t xml:space="preserve"> Thrust in Liner</t>
    </r>
  </si>
  <si>
    <r>
      <t>σ</t>
    </r>
    <r>
      <rPr>
        <b/>
        <vertAlign val="subscript"/>
        <sz val="11"/>
        <color rgb="FF0070C0"/>
        <rFont val="Arial"/>
        <family val="2"/>
      </rPr>
      <t xml:space="preserve">crown  </t>
    </r>
    <r>
      <rPr>
        <b/>
        <sz val="11"/>
        <color rgb="FF0070C0"/>
        <rFont val="Arial"/>
        <family val="2"/>
      </rPr>
      <t>Normal Stress (Strength)</t>
    </r>
  </si>
  <si>
    <r>
      <t>M</t>
    </r>
    <r>
      <rPr>
        <b/>
        <vertAlign val="subscript"/>
        <sz val="11"/>
        <color rgb="FF0070C0"/>
        <rFont val="Arial"/>
        <family val="2"/>
      </rPr>
      <t>strengthe</t>
    </r>
    <r>
      <rPr>
        <b/>
        <sz val="11"/>
        <color rgb="FF0070C0"/>
        <rFont val="Arial"/>
        <family val="2"/>
      </rPr>
      <t xml:space="preserve">  Moment</t>
    </r>
  </si>
  <si>
    <r>
      <rPr>
        <b/>
        <sz val="11"/>
        <color rgb="FF0070C0"/>
        <rFont val="Arial"/>
        <family val="2"/>
      </rPr>
      <t>P  Design Wheel Load</t>
    </r>
    <r>
      <rPr>
        <b/>
        <sz val="10"/>
        <color theme="1"/>
        <rFont val="Arial"/>
        <family val="2"/>
      </rPr>
      <t xml:space="preserve">  </t>
    </r>
    <r>
      <rPr>
        <sz val="10"/>
        <color theme="1"/>
        <rFont val="Arial"/>
        <family val="2"/>
      </rPr>
      <t xml:space="preserve">                                                                                                                                                                                                                                                                                                                   </t>
    </r>
    <r>
      <rPr>
        <i/>
        <sz val="10"/>
        <color theme="1"/>
        <rFont val="Arial"/>
        <family val="2"/>
      </rPr>
      <t xml:space="preserve">Refer to AASHTO Bridge Desgin Specifications, 8th Ed.,                                                                                                                                                                                                                         Section 3.6.1.2.6b.                                                                                                                                                                                                                                                                                                      P Load is the weight an AASHTO design truck imposes on a single wheel (or pair of wheels in the case of dual wheels).                                                                                                                                                                                                                                                                                                                                                                                                                                                                                                                                                                   Typical HL-93 Design Truck has 3 axles, front axle load of 8 kips, and two rear axles with a load of 32 kips each (rear wheel load of 16 kips each)                                                      </t>
    </r>
  </si>
  <si>
    <r>
      <rPr>
        <b/>
        <sz val="11"/>
        <color rgb="FF0070C0"/>
        <rFont val="Arial"/>
        <family val="2"/>
      </rPr>
      <t xml:space="preserve">kµ' </t>
    </r>
    <r>
      <rPr>
        <sz val="11"/>
        <color theme="1"/>
        <rFont val="Arial"/>
        <family val="2"/>
      </rPr>
      <t xml:space="preserve"> </t>
    </r>
    <r>
      <rPr>
        <b/>
        <sz val="11"/>
        <color rgb="FF0070C0"/>
        <rFont val="Arial"/>
        <family val="2"/>
      </rPr>
      <t>Select kµ' - Refer to Figure 9-13 in ASCE MOP 60</t>
    </r>
    <r>
      <rPr>
        <sz val="10"/>
        <color theme="1"/>
        <rFont val="Arial"/>
        <family val="2"/>
      </rPr>
      <t xml:space="preserve"> </t>
    </r>
    <r>
      <rPr>
        <i/>
        <sz val="10"/>
        <color theme="1"/>
        <rFont val="Arial"/>
        <family val="2"/>
      </rPr>
      <t xml:space="preserve">      </t>
    </r>
    <r>
      <rPr>
        <sz val="11"/>
        <color theme="1"/>
        <rFont val="Arial"/>
        <family val="2"/>
      </rPr>
      <t xml:space="preserve">                                                                                                                                                                                                                                                               </t>
    </r>
    <r>
      <rPr>
        <i/>
        <sz val="10"/>
        <color theme="1"/>
        <rFont val="Arial"/>
        <family val="2"/>
      </rPr>
      <t xml:space="preserve">kµ'=0.1924 min for granular material without cohesion                                                                                                                                                                                                                             kµ'=0.165 max for sand and gravel                                                                                                                                                                                                                                                                        kµ'=0.150 max for saturated top soil  </t>
    </r>
    <r>
      <rPr>
        <sz val="10"/>
        <color theme="1"/>
        <rFont val="Arial"/>
        <family val="2"/>
      </rPr>
      <t xml:space="preserve">                                                                                                                                                                                                                                                                 kµ'=0.130 max for ordinary clay  </t>
    </r>
    <r>
      <rPr>
        <sz val="11"/>
        <color theme="1"/>
        <rFont val="Arial"/>
        <family val="2"/>
      </rPr>
      <t xml:space="preserve">                                                                                                                                                                                                                                                                            </t>
    </r>
    <r>
      <rPr>
        <i/>
        <sz val="10"/>
        <color theme="1"/>
        <rFont val="Arial"/>
        <family val="2"/>
      </rPr>
      <t xml:space="preserve">kµ'=0.110 max for saturated clay </t>
    </r>
    <r>
      <rPr>
        <sz val="11"/>
        <color theme="1"/>
        <rFont val="Arial"/>
        <family val="2"/>
      </rPr>
      <t xml:space="preserve">                                                                                                                                                                                                                                                                                                                                                                                                                                                     </t>
    </r>
  </si>
  <si>
    <r>
      <t>P</t>
    </r>
    <r>
      <rPr>
        <b/>
        <vertAlign val="subscript"/>
        <sz val="11"/>
        <color rgb="FF0070C0"/>
        <rFont val="Arial"/>
        <family val="2"/>
      </rPr>
      <t>w</t>
    </r>
    <r>
      <rPr>
        <b/>
        <sz val="11"/>
        <color rgb="FF0070C0"/>
        <rFont val="Arial"/>
        <family val="2"/>
      </rPr>
      <t xml:space="preserve">  External Hydrostatic Pressure Acting on the Pipe</t>
    </r>
  </si>
  <si>
    <r>
      <rPr>
        <b/>
        <sz val="11"/>
        <color rgb="FF0070C0"/>
        <rFont val="Arial"/>
        <family val="2"/>
      </rPr>
      <t>D</t>
    </r>
    <r>
      <rPr>
        <b/>
        <vertAlign val="subscript"/>
        <sz val="11"/>
        <color rgb="FF0070C0"/>
        <rFont val="Arial"/>
        <family val="2"/>
      </rPr>
      <t>L</t>
    </r>
    <r>
      <rPr>
        <b/>
        <sz val="11"/>
        <color rgb="FF0070C0"/>
        <rFont val="Arial"/>
        <family val="2"/>
      </rPr>
      <t xml:space="preserve">  Deflection Lag Factor, a value of 1.0 is recommended for rehabilitation lining</t>
    </r>
    <r>
      <rPr>
        <sz val="10"/>
        <color theme="1"/>
        <rFont val="Arial"/>
        <family val="2"/>
      </rPr>
      <t xml:space="preserve">                                                                                                                                                                                   </t>
    </r>
    <r>
      <rPr>
        <i/>
        <sz val="10"/>
        <color theme="1"/>
        <rFont val="Arial"/>
        <family val="2"/>
      </rPr>
      <t xml:space="preserve">                                                                                                                                                                                                              Refer to AASHTO LRFD Bridge Design Manual, 8th Ed., Section 12.12.2.2                                                                                                                                                                                                                                                                                                                                                                                                                                                                                                                                                                                                                                                                                                          </t>
    </r>
    <r>
      <rPr>
        <sz val="10"/>
        <color theme="1"/>
        <rFont val="Arial"/>
        <family val="2"/>
      </rPr>
      <t xml:space="preserve">                                                                                                                                                                                                                               </t>
    </r>
  </si>
  <si>
    <r>
      <rPr>
        <b/>
        <sz val="11"/>
        <color rgb="FF0070C0"/>
        <rFont val="Arial"/>
        <family val="2"/>
      </rPr>
      <t>K</t>
    </r>
    <r>
      <rPr>
        <b/>
        <vertAlign val="subscript"/>
        <sz val="11"/>
        <color rgb="FF0070C0"/>
        <rFont val="Arial"/>
        <family val="2"/>
      </rPr>
      <t>B</t>
    </r>
    <r>
      <rPr>
        <b/>
        <sz val="11"/>
        <color rgb="FF0070C0"/>
        <rFont val="Arial"/>
        <family val="2"/>
      </rPr>
      <t xml:space="preserve">  Bedding Coefficient, a value of 0.083 is recommended for rehabilitation lining                                                                                                                                                                            </t>
    </r>
    <r>
      <rPr>
        <sz val="10"/>
        <color theme="1"/>
        <rFont val="Arial"/>
        <family val="2"/>
      </rPr>
      <t xml:space="preserve">                                                                                                                                                                            </t>
    </r>
    <r>
      <rPr>
        <i/>
        <sz val="10"/>
        <color theme="1"/>
        <rFont val="Arial"/>
        <family val="2"/>
      </rPr>
      <t xml:space="preserve">Refer to AASHTO LRFD Bridge Design Manual, 8th Ed., Section 12.12.2.2                                                                                                                                                                               </t>
    </r>
  </si>
  <si>
    <r>
      <t>I</t>
    </r>
    <r>
      <rPr>
        <b/>
        <vertAlign val="subscript"/>
        <sz val="11"/>
        <color rgb="FF0070C0"/>
        <rFont val="Arial"/>
        <family val="2"/>
      </rPr>
      <t>SAPL</t>
    </r>
    <r>
      <rPr>
        <b/>
        <sz val="11"/>
        <color rgb="FF0070C0"/>
        <rFont val="Arial"/>
        <family val="2"/>
      </rPr>
      <t xml:space="preserve">  Moment of Inertia of Liner Profile per unit length of Liner</t>
    </r>
  </si>
  <si>
    <r>
      <rPr>
        <b/>
        <sz val="11"/>
        <color rgb="FF0070C0"/>
        <rFont val="Arial"/>
        <family val="2"/>
      </rPr>
      <t>M</t>
    </r>
    <r>
      <rPr>
        <b/>
        <vertAlign val="subscript"/>
        <sz val="11"/>
        <color rgb="FF0070C0"/>
        <rFont val="Arial"/>
        <family val="2"/>
      </rPr>
      <t>s</t>
    </r>
    <r>
      <rPr>
        <b/>
        <sz val="11"/>
        <color rgb="FF0070C0"/>
        <rFont val="Arial"/>
        <family val="2"/>
      </rPr>
      <t xml:space="preserve">  Secant Constrained Soil Modulus, as specified in Article 12.12.3.5</t>
    </r>
    <r>
      <rPr>
        <sz val="10"/>
        <color theme="1"/>
        <rFont val="Arial"/>
        <family val="2"/>
      </rPr>
      <t xml:space="preserve">                                                                                                                                                                                                        </t>
    </r>
    <r>
      <rPr>
        <i/>
        <sz val="10"/>
        <color theme="1"/>
        <rFont val="Arial"/>
        <family val="2"/>
      </rPr>
      <t xml:space="preserve">A conservative value for Ms is 0.503, which assumes sandy soil at 85% compaction.                                                                                                                                                                                  Alternately, use the Pe value above to determine Ms from Table 12.12.3.5-1 of AASHTO LRFD Bridge Design Specifications.   </t>
    </r>
    <r>
      <rPr>
        <sz val="10"/>
        <color theme="1"/>
        <rFont val="Arial"/>
        <family val="2"/>
      </rPr>
      <t xml:space="preserve">                                                       </t>
    </r>
  </si>
  <si>
    <r>
      <t>Δ</t>
    </r>
    <r>
      <rPr>
        <b/>
        <vertAlign val="subscript"/>
        <sz val="11"/>
        <color rgb="FF0070C0"/>
        <rFont val="Arial"/>
        <family val="2"/>
      </rPr>
      <t xml:space="preserve">A  </t>
    </r>
    <r>
      <rPr>
        <b/>
        <sz val="11"/>
        <color rgb="FF0070C0"/>
        <rFont val="Arial"/>
        <family val="2"/>
      </rPr>
      <t>Maximum Percentage of the Allowable Deflection                                                                                                                                                                                                                                          [ Δ</t>
    </r>
    <r>
      <rPr>
        <b/>
        <vertAlign val="subscript"/>
        <sz val="11"/>
        <color rgb="FF0070C0"/>
        <rFont val="Arial"/>
        <family val="2"/>
      </rPr>
      <t>A</t>
    </r>
    <r>
      <rPr>
        <b/>
        <sz val="11"/>
        <color rgb="FF0070C0"/>
        <rFont val="Arial"/>
        <family val="2"/>
      </rPr>
      <t xml:space="preserve"> = % x D</t>
    </r>
    <r>
      <rPr>
        <b/>
        <vertAlign val="subscript"/>
        <sz val="11"/>
        <color rgb="FF0070C0"/>
        <rFont val="Arial"/>
        <family val="2"/>
      </rPr>
      <t>i</t>
    </r>
    <r>
      <rPr>
        <b/>
        <sz val="11"/>
        <color rgb="FF0070C0"/>
        <rFont val="Arial"/>
        <family val="2"/>
      </rPr>
      <t xml:space="preserve"> ]</t>
    </r>
  </si>
  <si>
    <r>
      <t>Δ</t>
    </r>
    <r>
      <rPr>
        <b/>
        <vertAlign val="subscript"/>
        <sz val="11"/>
        <color rgb="FF0070C0"/>
        <rFont val="Arial"/>
        <family val="2"/>
      </rPr>
      <t xml:space="preserve">A </t>
    </r>
    <r>
      <rPr>
        <b/>
        <sz val="11"/>
        <color rgb="FF0070C0"/>
        <rFont val="Arial"/>
        <family val="2"/>
      </rPr>
      <t xml:space="preserve"> Total Allowable Deflection of Liner, Reduction in Vertical Diameter </t>
    </r>
  </si>
  <si>
    <r>
      <t>Δ</t>
    </r>
    <r>
      <rPr>
        <b/>
        <vertAlign val="subscript"/>
        <sz val="11"/>
        <color rgb="FF0070C0"/>
        <rFont val="Arial"/>
        <family val="2"/>
      </rPr>
      <t>t</t>
    </r>
    <r>
      <rPr>
        <b/>
        <sz val="11"/>
        <color rgb="FF0070C0"/>
        <rFont val="Arial"/>
        <family val="2"/>
      </rPr>
      <t xml:space="preserve">  Total Deflection of the Pipe, expressed as a Reduction of the Vertical Diameter</t>
    </r>
  </si>
  <si>
    <r>
      <rPr>
        <b/>
        <sz val="11"/>
        <color rgb="FF0070C0"/>
        <rFont val="Arial"/>
        <family val="2"/>
      </rPr>
      <t>γ</t>
    </r>
    <r>
      <rPr>
        <b/>
        <vertAlign val="subscript"/>
        <sz val="11"/>
        <color rgb="FF0070C0"/>
        <rFont val="Arial"/>
        <family val="2"/>
      </rPr>
      <t xml:space="preserve">EV </t>
    </r>
    <r>
      <rPr>
        <b/>
        <sz val="11"/>
        <color rgb="FF0070C0"/>
        <rFont val="Arial"/>
        <family val="2"/>
      </rPr>
      <t xml:space="preserve"> Load Factor for Vertical Pressure from Dead Load of Earth Fill, recommend 1.3 for rehab  </t>
    </r>
    <r>
      <rPr>
        <sz val="10"/>
        <color theme="1"/>
        <rFont val="Arial"/>
        <family val="2"/>
      </rPr>
      <t xml:space="preserve">                                                                                                                                                           </t>
    </r>
    <r>
      <rPr>
        <i/>
        <sz val="10"/>
        <color theme="1"/>
        <rFont val="Arial"/>
        <family val="2"/>
      </rPr>
      <t>See Table 3.4.1-2 of AASHTO LRFD Bridge Design Specifications for the range of possible values. Values range from 1.95 to 0.9 for Thermoplastic Pipe, with 1.95 being more conservative.</t>
    </r>
    <r>
      <rPr>
        <sz val="10"/>
        <color theme="1"/>
        <rFont val="Arial"/>
        <family val="2"/>
      </rPr>
      <t xml:space="preserve">                                                                                                     </t>
    </r>
  </si>
  <si>
    <r>
      <t>γ</t>
    </r>
    <r>
      <rPr>
        <b/>
        <vertAlign val="subscript"/>
        <sz val="11"/>
        <color rgb="FF0070C0"/>
        <rFont val="Arial"/>
        <family val="2"/>
      </rPr>
      <t>LL</t>
    </r>
    <r>
      <rPr>
        <b/>
        <sz val="11"/>
        <color rgb="FF0070C0"/>
        <rFont val="Arial"/>
        <family val="2"/>
      </rPr>
      <t xml:space="preserve">  Load Factor for Live Load , as specified in Article 3.4.1</t>
    </r>
  </si>
  <si>
    <r>
      <t>C</t>
    </r>
    <r>
      <rPr>
        <b/>
        <vertAlign val="subscript"/>
        <sz val="11"/>
        <color rgb="FF0070C0"/>
        <rFont val="Arial"/>
        <family val="2"/>
      </rPr>
      <t xml:space="preserve">n </t>
    </r>
    <r>
      <rPr>
        <b/>
        <sz val="11"/>
        <color rgb="FF0070C0"/>
        <rFont val="Arial"/>
        <family val="2"/>
      </rPr>
      <t xml:space="preserve"> Scalar Calibration Factor, 0.55</t>
    </r>
  </si>
  <si>
    <r>
      <rPr>
        <b/>
        <sz val="11"/>
        <color rgb="FF0070C0"/>
        <rFont val="Arial"/>
        <family val="2"/>
      </rPr>
      <t>ϕ</t>
    </r>
    <r>
      <rPr>
        <b/>
        <vertAlign val="subscript"/>
        <sz val="11"/>
        <color rgb="FF0070C0"/>
        <rFont val="Arial"/>
        <family val="2"/>
      </rPr>
      <t>s</t>
    </r>
    <r>
      <rPr>
        <b/>
        <sz val="11"/>
        <color rgb="FF0070C0"/>
        <rFont val="Arial"/>
        <family val="2"/>
      </rPr>
      <t xml:space="preserve"> Resistance Factor of the Soil to account for variability, 0.9   </t>
    </r>
    <r>
      <rPr>
        <sz val="10"/>
        <color theme="1"/>
        <rFont val="Arial"/>
        <family val="2"/>
      </rPr>
      <t xml:space="preserve">                                                                                                                                                                                                                        </t>
    </r>
    <r>
      <rPr>
        <i/>
        <sz val="10"/>
        <color theme="1"/>
        <rFont val="Arial"/>
        <family val="2"/>
      </rPr>
      <t xml:space="preserve">Refer to AASHTO LRFD Bridge Design Specifications 8th ed. Table 12.5.5-1.  </t>
    </r>
    <r>
      <rPr>
        <sz val="10"/>
        <color theme="1"/>
        <rFont val="Arial"/>
        <family val="2"/>
      </rPr>
      <t xml:space="preserve">                                                   </t>
    </r>
  </si>
  <si>
    <r>
      <t>ϕ</t>
    </r>
    <r>
      <rPr>
        <b/>
        <vertAlign val="subscript"/>
        <sz val="11"/>
        <color rgb="FF0070C0"/>
        <rFont val="Arial"/>
        <family val="2"/>
      </rPr>
      <t>bck</t>
    </r>
    <r>
      <rPr>
        <b/>
        <sz val="11"/>
        <color rgb="FF0070C0"/>
        <rFont val="Arial"/>
        <family val="2"/>
      </rPr>
      <t xml:space="preserve"> Resistance Factor for Global Buckling as defined in Table 12.5.5-1, use 0.70</t>
    </r>
  </si>
  <si>
    <r>
      <t>E</t>
    </r>
    <r>
      <rPr>
        <b/>
        <vertAlign val="subscript"/>
        <sz val="11"/>
        <color rgb="FF0070C0"/>
        <rFont val="Arial"/>
        <family val="2"/>
      </rPr>
      <t>SAPL</t>
    </r>
    <r>
      <rPr>
        <b/>
        <sz val="11"/>
        <color rgb="FF0070C0"/>
        <rFont val="Arial"/>
        <family val="2"/>
      </rPr>
      <t xml:space="preserve">  Long-Term Circumferential Flexural Modulus of Liner Material                                                                                                                                                                                                        </t>
    </r>
    <r>
      <rPr>
        <i/>
        <sz val="10"/>
        <rFont val="Arial"/>
        <family val="2"/>
      </rPr>
      <t>For determining long term and short term modulus of elasticity, use ASTM D790 standard test methods for short term, and ASTM D2990  standard test methods for long term. In the absence of the ASTM D2990 standard tests, it is a common practice to use 50% of the short term modulus of elasticity as a value for the long term modulus of elasticity.</t>
    </r>
  </si>
  <si>
    <t>ν  Poisson's Ratio of the Soil, 0.3</t>
  </si>
  <si>
    <r>
      <t>ε</t>
    </r>
    <r>
      <rPr>
        <b/>
        <vertAlign val="subscript"/>
        <sz val="11"/>
        <color rgb="FF0070C0"/>
        <rFont val="Arial"/>
        <family val="2"/>
      </rPr>
      <t xml:space="preserve">fb </t>
    </r>
    <r>
      <rPr>
        <b/>
        <sz val="11"/>
        <color rgb="FF0070C0"/>
        <rFont val="Arial"/>
        <family val="2"/>
      </rPr>
      <t xml:space="preserve">  Factored Buckling Strain Demand</t>
    </r>
  </si>
  <si>
    <r>
      <t>ε</t>
    </r>
    <r>
      <rPr>
        <b/>
        <vertAlign val="subscript"/>
        <sz val="11"/>
        <color rgb="FF0070C0"/>
        <rFont val="Arial"/>
        <family val="2"/>
      </rPr>
      <t xml:space="preserve">bck </t>
    </r>
    <r>
      <rPr>
        <b/>
        <sz val="11"/>
        <color rgb="FF0070C0"/>
        <rFont val="Arial"/>
        <family val="2"/>
      </rPr>
      <t xml:space="preserve">  Nominal Strain Capacity for Buckling</t>
    </r>
  </si>
  <si>
    <r>
      <t>ϕ</t>
    </r>
    <r>
      <rPr>
        <b/>
        <vertAlign val="subscript"/>
        <sz val="11"/>
        <color rgb="FF0070C0"/>
        <rFont val="Arial"/>
        <family val="2"/>
      </rPr>
      <t xml:space="preserve">f </t>
    </r>
    <r>
      <rPr>
        <b/>
        <sz val="11"/>
        <color rgb="FF0070C0"/>
        <rFont val="Arial"/>
        <family val="2"/>
      </rPr>
      <t xml:space="preserve"> Resistance Factor for Flexure, 0.90 (Table 12.5.5-1, BDS)</t>
    </r>
  </si>
  <si>
    <r>
      <rPr>
        <b/>
        <sz val="11"/>
        <color rgb="FF0070C0"/>
        <rFont val="Arial"/>
        <family val="2"/>
      </rPr>
      <t>S</t>
    </r>
    <r>
      <rPr>
        <b/>
        <vertAlign val="subscript"/>
        <sz val="11"/>
        <color rgb="FF0070C0"/>
        <rFont val="Arial"/>
        <family val="2"/>
      </rPr>
      <t>b</t>
    </r>
    <r>
      <rPr>
        <b/>
        <sz val="11"/>
        <color rgb="FF0070C0"/>
        <rFont val="Arial"/>
        <family val="2"/>
      </rPr>
      <t xml:space="preserve">  Long-Term Ring-Bending Strain for Product under Design per the Manufacturer's Testing  </t>
    </r>
    <r>
      <rPr>
        <sz val="10"/>
        <color theme="1"/>
        <rFont val="Arial"/>
        <family val="2"/>
      </rPr>
      <t xml:space="preserve">                                                                                                                                                           </t>
    </r>
    <r>
      <rPr>
        <i/>
        <sz val="10"/>
        <color theme="1"/>
        <rFont val="Arial"/>
        <family val="2"/>
      </rPr>
      <t>Sb is obtained from manufacturer's ASTM D5365 test results.</t>
    </r>
    <r>
      <rPr>
        <sz val="10"/>
        <color theme="1"/>
        <rFont val="Arial"/>
        <family val="2"/>
      </rPr>
      <t xml:space="preserve">                              
</t>
    </r>
  </si>
  <si>
    <r>
      <rPr>
        <b/>
        <sz val="11"/>
        <color rgb="FF0070C0"/>
        <rFont val="Arial"/>
        <family val="2"/>
      </rPr>
      <t>D</t>
    </r>
    <r>
      <rPr>
        <b/>
        <vertAlign val="subscript"/>
        <sz val="11"/>
        <color rgb="FF0070C0"/>
        <rFont val="Arial"/>
        <family val="2"/>
      </rPr>
      <t>f</t>
    </r>
    <r>
      <rPr>
        <b/>
        <sz val="11"/>
        <color rgb="FF0070C0"/>
        <rFont val="Arial"/>
        <family val="2"/>
      </rPr>
      <t xml:space="preserve"> Shape Factor (dimensionless)                                                                                                                                                                                  </t>
    </r>
    <r>
      <rPr>
        <sz val="10"/>
        <rFont val="Arial"/>
        <family val="2"/>
      </rPr>
      <t>See Table 12.12.3.10.2b-1 of AASHTO LRFD Bridge Design Specifications</t>
    </r>
    <r>
      <rPr>
        <b/>
        <sz val="11"/>
        <color rgb="FF0070C0"/>
        <rFont val="Arial"/>
        <family val="2"/>
      </rPr>
      <t xml:space="preserve"> </t>
    </r>
    <r>
      <rPr>
        <sz val="10"/>
        <color theme="1"/>
        <rFont val="Arial"/>
        <family val="2"/>
      </rPr>
      <t xml:space="preserve">                                                                                                                                                                                                            </t>
    </r>
    <r>
      <rPr>
        <i/>
        <sz val="10"/>
        <color theme="1"/>
        <rFont val="Arial"/>
        <family val="2"/>
      </rPr>
      <t>A conservative value is 5.5 for poorly compacted gravel.</t>
    </r>
    <r>
      <rPr>
        <sz val="10"/>
        <color theme="1"/>
        <rFont val="Arial"/>
        <family val="2"/>
      </rPr>
      <t xml:space="preserve">
</t>
    </r>
  </si>
  <si>
    <r>
      <t>ε</t>
    </r>
    <r>
      <rPr>
        <b/>
        <vertAlign val="subscript"/>
        <sz val="11"/>
        <color rgb="FF0070C0"/>
        <rFont val="Arial"/>
        <family val="2"/>
      </rPr>
      <t>f</t>
    </r>
    <r>
      <rPr>
        <b/>
        <sz val="11"/>
        <color rgb="FF0070C0"/>
        <rFont val="Arial"/>
        <family val="2"/>
      </rPr>
      <t xml:space="preserve">  Factored Long-Term Strain due to Flexure</t>
    </r>
  </si>
  <si>
    <r>
      <rPr>
        <b/>
        <sz val="11"/>
        <color rgb="FF0070C0"/>
        <rFont val="Arial"/>
        <family val="2"/>
      </rPr>
      <t>P  Design Wheel Load</t>
    </r>
    <r>
      <rPr>
        <b/>
        <sz val="10"/>
        <color theme="1"/>
        <rFont val="Arial"/>
        <family val="2"/>
      </rPr>
      <t xml:space="preserve">  </t>
    </r>
    <r>
      <rPr>
        <sz val="10"/>
        <color theme="1"/>
        <rFont val="Arial"/>
        <family val="2"/>
      </rPr>
      <t xml:space="preserve">                                                                                                                                                                                                                                                                                                                   </t>
    </r>
    <r>
      <rPr>
        <i/>
        <sz val="10"/>
        <color theme="1"/>
        <rFont val="Arial"/>
        <family val="2"/>
      </rPr>
      <t xml:space="preserve">Refer to AASHTO Bridge Desgin Specifications, 8th Ed.,                                                                                                                                                                                                                         Section 3.6.1.2.6b.                                                                                                                                                                                                                                                                                                      P Load is the weight an AASHTO design truck imposes on a single wheel (or pair of wheels in the case of dual wheels).                                                                                                                                                                                                                                                                                                                                                                                                                                                                                                                                                                   Typical HL-93 Design Truck has 3 axles, front axle load of 8 kips, and two rear axles with a load of 32 kips each (rear wheel load of 16 kips each)                                                 </t>
    </r>
  </si>
  <si>
    <r>
      <rPr>
        <b/>
        <sz val="11"/>
        <color rgb="FF0070C0"/>
        <rFont val="Arial"/>
        <family val="2"/>
      </rPr>
      <t>Sw  Spacing Between the Wheel Pairs on the Axle</t>
    </r>
    <r>
      <rPr>
        <sz val="11"/>
        <color theme="1"/>
        <rFont val="Arial"/>
        <family val="2"/>
      </rPr>
      <t xml:space="preserve">                                                                                                                                                                                                                                                                                                                                            </t>
    </r>
    <r>
      <rPr>
        <i/>
        <sz val="10"/>
        <color theme="1"/>
        <rFont val="Arial"/>
        <family val="2"/>
      </rPr>
      <t>Refer to AASHTO LRFD Bridge Design Specifications, 8th Ed.  Section 3.6.1.2.3.</t>
    </r>
  </si>
  <si>
    <r>
      <t>Γ</t>
    </r>
    <r>
      <rPr>
        <b/>
        <vertAlign val="subscript"/>
        <sz val="11"/>
        <color rgb="FF0070C0"/>
        <rFont val="Arial"/>
        <family val="2"/>
      </rPr>
      <t>(α,g)</t>
    </r>
    <r>
      <rPr>
        <b/>
        <sz val="11"/>
        <color rgb="FF0070C0"/>
        <rFont val="Arial"/>
        <family val="2"/>
      </rPr>
      <t xml:space="preserve">  Amplification Factor for the Critical Angle due to Initial Gap, for SAPL = 1</t>
    </r>
  </si>
  <si>
    <r>
      <rPr>
        <b/>
        <i/>
        <sz val="11"/>
        <color rgb="FF0070C0"/>
        <rFont val="Arial"/>
        <family val="2"/>
      </rPr>
      <t>P</t>
    </r>
    <r>
      <rPr>
        <b/>
        <sz val="11"/>
        <color rgb="FF0070C0"/>
        <rFont val="Arial"/>
        <family val="2"/>
      </rPr>
      <t xml:space="preserve">  Perimeter of the Lining</t>
    </r>
  </si>
  <si>
    <t>k  Deformation Mode, k = 1 for a Pipe Arch Shape</t>
  </si>
  <si>
    <r>
      <rPr>
        <b/>
        <sz val="11"/>
        <color rgb="FF0070C0"/>
        <rFont val="Arial"/>
        <family val="2"/>
      </rPr>
      <t>α  Half Arc Angle where Blister Develops</t>
    </r>
    <r>
      <rPr>
        <sz val="10"/>
        <color theme="1"/>
        <rFont val="Arial"/>
        <family val="2"/>
      </rPr>
      <t xml:space="preserve">                                                                                                                                                                                                                                                                                               </t>
    </r>
    <r>
      <rPr>
        <i/>
        <sz val="10"/>
        <color theme="1"/>
        <rFont val="Arial"/>
        <family val="2"/>
      </rPr>
      <t>See figure 8-3</t>
    </r>
    <r>
      <rPr>
        <sz val="10"/>
        <color theme="1"/>
        <rFont val="Arial"/>
        <family val="2"/>
      </rPr>
      <t xml:space="preserve">                             </t>
    </r>
  </si>
  <si>
    <r>
      <t>Γ</t>
    </r>
    <r>
      <rPr>
        <b/>
        <vertAlign val="subscript"/>
        <sz val="11"/>
        <color rgb="FF0070C0"/>
        <rFont val="Arial"/>
        <family val="2"/>
      </rPr>
      <t>(d,g)</t>
    </r>
    <r>
      <rPr>
        <b/>
        <sz val="11"/>
        <color rgb="FF0070C0"/>
        <rFont val="Arial"/>
        <family val="2"/>
      </rPr>
      <t xml:space="preserve">  Amplification Factor for the Critical Deflection due to Initial Gap, for SAPL = 1</t>
    </r>
  </si>
  <si>
    <r>
      <t>Γ</t>
    </r>
    <r>
      <rPr>
        <b/>
        <vertAlign val="subscript"/>
        <sz val="11"/>
        <color rgb="FF0070C0"/>
        <rFont val="Arial"/>
        <family val="2"/>
      </rPr>
      <t>(M,g)</t>
    </r>
    <r>
      <rPr>
        <b/>
        <sz val="11"/>
        <color rgb="FF0070C0"/>
        <rFont val="Arial"/>
        <family val="2"/>
      </rPr>
      <t xml:space="preserve">  Amplification Factor for the Critical Moment due to Initial Gap, for SAPL = 1</t>
    </r>
  </si>
  <si>
    <r>
      <t>ϕ</t>
    </r>
    <r>
      <rPr>
        <b/>
        <vertAlign val="subscript"/>
        <sz val="11"/>
        <color rgb="FF0070C0"/>
        <rFont val="Arial"/>
        <family val="2"/>
      </rPr>
      <t xml:space="preserve">bck  </t>
    </r>
    <r>
      <rPr>
        <b/>
        <sz val="11"/>
        <color rgb="FF0070C0"/>
        <rFont val="Arial"/>
        <family val="2"/>
      </rPr>
      <t>Resistance Factor to Buckling, recommend a value of 0.5</t>
    </r>
  </si>
  <si>
    <r>
      <t>σ</t>
    </r>
    <r>
      <rPr>
        <b/>
        <vertAlign val="subscript"/>
        <sz val="11"/>
        <color rgb="FF0070C0"/>
        <rFont val="Arial"/>
        <family val="2"/>
      </rPr>
      <t>R</t>
    </r>
    <r>
      <rPr>
        <b/>
        <sz val="11"/>
        <color rgb="FF0070C0"/>
        <rFont val="Arial"/>
        <family val="2"/>
      </rPr>
      <t xml:space="preserve">  Stress Strength of Material Corresponding to 95% Lower Confidence Limit</t>
    </r>
  </si>
  <si>
    <r>
      <t>ϕ</t>
    </r>
    <r>
      <rPr>
        <b/>
        <vertAlign val="subscript"/>
        <sz val="11"/>
        <color rgb="FF0070C0"/>
        <rFont val="Arial"/>
        <family val="2"/>
      </rPr>
      <t>M</t>
    </r>
    <r>
      <rPr>
        <b/>
        <sz val="11"/>
        <color rgb="FF0070C0"/>
        <rFont val="Arial"/>
        <family val="2"/>
      </rPr>
      <t xml:space="preserve">  Strength Resistance Factor for Material, use 0.67 in absence of testing</t>
    </r>
  </si>
  <si>
    <t>Deflection Limit: Percentage of the Straight Section (flattest arc element)</t>
  </si>
  <si>
    <r>
      <t>α</t>
    </r>
    <r>
      <rPr>
        <b/>
        <vertAlign val="subscript"/>
        <sz val="11"/>
        <color rgb="FF0070C0"/>
        <rFont val="Arial"/>
        <family val="2"/>
      </rPr>
      <t>cr</t>
    </r>
    <r>
      <rPr>
        <b/>
        <sz val="11"/>
        <color rgb="FF0070C0"/>
        <rFont val="Arial"/>
        <family val="2"/>
      </rPr>
      <t xml:space="preserve">  Calculated Half Blister Angle just before Buckling occurs</t>
    </r>
  </si>
  <si>
    <t>p  Design Pressure</t>
  </si>
  <si>
    <r>
      <t>p</t>
    </r>
    <r>
      <rPr>
        <b/>
        <vertAlign val="subscript"/>
        <sz val="11"/>
        <color rgb="FF0070C0"/>
        <rFont val="Arial"/>
        <family val="2"/>
      </rPr>
      <t xml:space="preserve">cr </t>
    </r>
    <r>
      <rPr>
        <b/>
        <sz val="11"/>
        <color rgb="FF0070C0"/>
        <rFont val="Arial"/>
        <family val="2"/>
      </rPr>
      <t xml:space="preserve"> Buckling Pressure of a Critical Lining</t>
    </r>
  </si>
  <si>
    <r>
      <t>d</t>
    </r>
    <r>
      <rPr>
        <b/>
        <vertAlign val="subscript"/>
        <sz val="11"/>
        <color rgb="FF0070C0"/>
        <rFont val="Arial"/>
        <family val="2"/>
      </rPr>
      <t xml:space="preserve">s  </t>
    </r>
    <r>
      <rPr>
        <b/>
        <sz val="11"/>
        <color rgb="FF0070C0"/>
        <rFont val="Arial"/>
        <family val="2"/>
      </rPr>
      <t xml:space="preserve">Maximum Deflection </t>
    </r>
  </si>
  <si>
    <r>
      <t>d</t>
    </r>
    <r>
      <rPr>
        <b/>
        <vertAlign val="subscript"/>
        <sz val="11"/>
        <color rgb="FF0070C0"/>
        <rFont val="Arial"/>
        <family val="2"/>
      </rPr>
      <t xml:space="preserve">L  </t>
    </r>
    <r>
      <rPr>
        <b/>
        <sz val="11"/>
        <color rgb="FF0070C0"/>
        <rFont val="Arial"/>
        <family val="2"/>
      </rPr>
      <t>Permissible Deflection for Flexible Polymeric Liners</t>
    </r>
  </si>
  <si>
    <r>
      <t>E</t>
    </r>
    <r>
      <rPr>
        <b/>
        <vertAlign val="subscript"/>
        <sz val="11"/>
        <color rgb="FF0070C0"/>
        <rFont val="Arial"/>
        <family val="2"/>
      </rPr>
      <t>SAPL</t>
    </r>
    <r>
      <rPr>
        <b/>
        <sz val="11"/>
        <color rgb="FF0070C0"/>
        <rFont val="Arial"/>
        <family val="2"/>
      </rPr>
      <t xml:space="preserve">  Short-Term Circumferential Flexural Modulus of Liner Material                                                                                                                                                                                                       </t>
    </r>
    <r>
      <rPr>
        <i/>
        <sz val="10"/>
        <rFont val="Arial"/>
        <family val="2"/>
      </rPr>
      <t>For determining long term and short term modulus of elasticity, use ASTM D790 standard test methods for short term, and ASTM D2990  standard test methods for long term. In the absence of the ASTM D2990 standard tests, it is a common practice to use 50% of the short term modulus of elasticity as a value for the long term modulus of elasticity.</t>
    </r>
  </si>
  <si>
    <r>
      <rPr>
        <b/>
        <sz val="10"/>
        <color rgb="FF0070C0"/>
        <rFont val="Arial"/>
        <family val="2"/>
      </rPr>
      <t>l</t>
    </r>
    <r>
      <rPr>
        <b/>
        <vertAlign val="subscript"/>
        <sz val="11"/>
        <color rgb="FF0070C0"/>
        <rFont val="Arial"/>
        <family val="2"/>
      </rPr>
      <t>t</t>
    </r>
    <r>
      <rPr>
        <b/>
        <sz val="11"/>
        <color rgb="FF0070C0"/>
        <rFont val="Arial"/>
        <family val="2"/>
      </rPr>
      <t xml:space="preserve">  Tire Patch Length </t>
    </r>
    <r>
      <rPr>
        <sz val="11"/>
        <color theme="1"/>
        <rFont val="Arial"/>
        <family val="2"/>
      </rPr>
      <t xml:space="preserve">                                                                                                                                                                                                                                                                                                                                             </t>
    </r>
    <r>
      <rPr>
        <i/>
        <sz val="10"/>
        <color theme="1"/>
        <rFont val="Arial"/>
        <family val="2"/>
      </rPr>
      <t>Refer to AASHTO LRFD Bridge Design Specifications, 8th Ed.  Section 3.6.1.2.5.</t>
    </r>
  </si>
  <si>
    <r>
      <rPr>
        <b/>
        <sz val="11"/>
        <color rgb="FF0070C0"/>
        <rFont val="Arial"/>
        <family val="2"/>
      </rPr>
      <t>W</t>
    </r>
    <r>
      <rPr>
        <b/>
        <vertAlign val="subscript"/>
        <sz val="11"/>
        <color rgb="FF0070C0"/>
        <rFont val="Arial"/>
        <family val="2"/>
      </rPr>
      <t>t</t>
    </r>
    <r>
      <rPr>
        <b/>
        <sz val="11"/>
        <color rgb="FF0070C0"/>
        <rFont val="Arial"/>
        <family val="2"/>
      </rPr>
      <t xml:space="preserve">  Tire Patch Width </t>
    </r>
    <r>
      <rPr>
        <sz val="11"/>
        <color theme="1"/>
        <rFont val="Arial"/>
        <family val="2"/>
      </rPr>
      <t xml:space="preserve">                                                                                                                                                                                                                                                                                                                                             </t>
    </r>
    <r>
      <rPr>
        <i/>
        <sz val="10"/>
        <color theme="1"/>
        <rFont val="Arial"/>
        <family val="2"/>
      </rPr>
      <t>Refer to AASHTO LRFD Bridge Design Specifications, 8th Ed.  Section 3.6.1.2.5.</t>
    </r>
  </si>
  <si>
    <r>
      <t>ƞ</t>
    </r>
    <r>
      <rPr>
        <b/>
        <vertAlign val="subscript"/>
        <sz val="11"/>
        <color rgb="FF0070C0"/>
        <rFont val="Arial"/>
        <family val="2"/>
      </rPr>
      <t xml:space="preserve">R  </t>
    </r>
    <r>
      <rPr>
        <b/>
        <sz val="11"/>
        <color rgb="FF0070C0"/>
        <rFont val="Arial"/>
        <family val="2"/>
      </rPr>
      <t>Load Modifier for Redundancy, 1.05 for Strength Limit State under Earth Loads</t>
    </r>
  </si>
  <si>
    <r>
      <t>ƞ</t>
    </r>
    <r>
      <rPr>
        <b/>
        <vertAlign val="subscript"/>
        <sz val="11"/>
        <color rgb="FF0070C0"/>
        <rFont val="Arial"/>
        <family val="2"/>
      </rPr>
      <t xml:space="preserve">R  </t>
    </r>
    <r>
      <rPr>
        <b/>
        <sz val="11"/>
        <color rgb="FF0070C0"/>
        <rFont val="Arial"/>
        <family val="2"/>
      </rPr>
      <t>Load Modifier for Redundancy, 1.0 for Strength Limit State under Live Loads</t>
    </r>
  </si>
  <si>
    <r>
      <t>ƞ</t>
    </r>
    <r>
      <rPr>
        <b/>
        <vertAlign val="subscript"/>
        <sz val="11"/>
        <color rgb="FF0070C0"/>
        <rFont val="Arial"/>
        <family val="2"/>
      </rPr>
      <t xml:space="preserve">EV  </t>
    </r>
    <r>
      <rPr>
        <b/>
        <sz val="11"/>
        <color rgb="FF0070C0"/>
        <rFont val="Arial"/>
        <family val="2"/>
      </rPr>
      <t>Load Modifier for Vertical Pressure from Dead Load of Earth Fill on a Buried  Structure per Article 1.3.2, recommend 1.0 for rehab</t>
    </r>
  </si>
  <si>
    <r>
      <t>γ</t>
    </r>
    <r>
      <rPr>
        <b/>
        <vertAlign val="subscript"/>
        <sz val="11"/>
        <color rgb="FF0070C0"/>
        <rFont val="Arial"/>
        <family val="2"/>
      </rPr>
      <t>WA</t>
    </r>
    <r>
      <rPr>
        <b/>
        <sz val="11"/>
        <color rgb="FF0070C0"/>
        <rFont val="Arial"/>
        <family val="2"/>
      </rPr>
      <t xml:space="preserve">  Load Factor for Hydrostatic Pressure, as per Article 3.4.1, use 1.0</t>
    </r>
  </si>
  <si>
    <r>
      <t>ƞ</t>
    </r>
    <r>
      <rPr>
        <b/>
        <vertAlign val="subscript"/>
        <sz val="11"/>
        <color rgb="FF0070C0"/>
        <rFont val="Arial"/>
        <family val="2"/>
      </rPr>
      <t xml:space="preserve">LL  </t>
    </r>
    <r>
      <rPr>
        <b/>
        <sz val="11"/>
        <color rgb="FF0070C0"/>
        <rFont val="Arial"/>
        <family val="2"/>
      </rPr>
      <t xml:space="preserve">Load Modifier as Specified in Article 1.3.2, as they apply to live loads on culverts                                                                                                                                                                          </t>
    </r>
    <r>
      <rPr>
        <i/>
        <sz val="10"/>
        <rFont val="Arial"/>
        <family val="2"/>
      </rPr>
      <t xml:space="preserve">use 1.0 per Article 1.3.2 </t>
    </r>
    <r>
      <rPr>
        <b/>
        <sz val="11"/>
        <color rgb="FF0070C0"/>
        <rFont val="Arial"/>
        <family val="2"/>
      </rPr>
      <t xml:space="preserve">                    
</t>
    </r>
  </si>
  <si>
    <r>
      <rPr>
        <b/>
        <sz val="11"/>
        <color rgb="FF0070C0"/>
        <rFont val="Arial"/>
        <family val="2"/>
      </rPr>
      <t>t  Thickness of the Liner</t>
    </r>
    <r>
      <rPr>
        <sz val="10"/>
        <color theme="1"/>
        <rFont val="Arial"/>
        <family val="2"/>
      </rPr>
      <t xml:space="preserve"> </t>
    </r>
    <r>
      <rPr>
        <i/>
        <sz val="10"/>
        <color theme="1"/>
        <rFont val="Arial"/>
        <family val="2"/>
      </rPr>
      <t xml:space="preserve">- See figure 8-4                                                                                                                                                                                                                                                          Note: Wall thickness is above the corrugation crests.   </t>
    </r>
    <r>
      <rPr>
        <sz val="10"/>
        <color theme="1"/>
        <rFont val="Arial"/>
        <family val="2"/>
      </rPr>
      <t xml:space="preserve">                               </t>
    </r>
  </si>
  <si>
    <r>
      <t>E</t>
    </r>
    <r>
      <rPr>
        <b/>
        <vertAlign val="subscript"/>
        <sz val="11"/>
        <color rgb="FF0070C0"/>
        <rFont val="Arial"/>
        <family val="2"/>
      </rPr>
      <t xml:space="preserve">SAPL  </t>
    </r>
    <r>
      <rPr>
        <b/>
        <sz val="11"/>
        <color rgb="FF0070C0"/>
        <rFont val="Arial"/>
        <family val="2"/>
      </rPr>
      <t xml:space="preserve">Short-Term Circumferential Flexural Modulus of Liner Material                                                                                                                                                                                                                                                </t>
    </r>
    <r>
      <rPr>
        <i/>
        <sz val="10"/>
        <rFont val="Arial"/>
        <family val="2"/>
      </rPr>
      <t>For determining long term and short term modulus of elasticity, use ASTM D790 standard test methods for short term, and ASTM D2990  standard test methods for long term. In the absence of the ASTM D2990 standard tests, it is a common practice to use 50% of the short term modulus of elasticity as a value for the long term modulus of elasticity.</t>
    </r>
  </si>
  <si>
    <r>
      <t>Δ</t>
    </r>
    <r>
      <rPr>
        <b/>
        <vertAlign val="subscript"/>
        <sz val="11"/>
        <color rgb="FF0070C0"/>
        <rFont val="Arial"/>
        <family val="2"/>
      </rPr>
      <t>t</t>
    </r>
    <r>
      <rPr>
        <b/>
        <sz val="11"/>
        <color rgb="FF0070C0"/>
        <rFont val="Arial"/>
        <family val="2"/>
      </rPr>
      <t xml:space="preserve">  Total Deflection of Liner</t>
    </r>
  </si>
  <si>
    <r>
      <t>Δ</t>
    </r>
    <r>
      <rPr>
        <b/>
        <vertAlign val="subscript"/>
        <sz val="11"/>
        <color rgb="FF0070C0"/>
        <rFont val="Arial"/>
        <family val="2"/>
      </rPr>
      <t xml:space="preserve">A </t>
    </r>
    <r>
      <rPr>
        <b/>
        <sz val="11"/>
        <color rgb="FF0070C0"/>
        <rFont val="Arial"/>
        <family val="2"/>
      </rPr>
      <t xml:space="preserve"> Total Allowable Deflection of Liner (Δ</t>
    </r>
    <r>
      <rPr>
        <b/>
        <vertAlign val="subscript"/>
        <sz val="11"/>
        <color rgb="FF0070C0"/>
        <rFont val="Arial"/>
        <family val="2"/>
      </rPr>
      <t>A</t>
    </r>
    <r>
      <rPr>
        <b/>
        <sz val="11"/>
        <color rgb="FF0070C0"/>
        <rFont val="Arial"/>
        <family val="2"/>
      </rPr>
      <t xml:space="preserve"> = 0.05 R</t>
    </r>
    <r>
      <rPr>
        <b/>
        <vertAlign val="subscript"/>
        <sz val="11"/>
        <color rgb="FF0070C0"/>
        <rFont val="Arial"/>
        <family val="2"/>
      </rPr>
      <t>top</t>
    </r>
    <r>
      <rPr>
        <b/>
        <sz val="11"/>
        <color rgb="FF0070C0"/>
        <rFont val="Arial"/>
        <family val="2"/>
      </rPr>
      <t>)</t>
    </r>
  </si>
  <si>
    <t>H.in Parallel</t>
  </si>
  <si>
    <r>
      <rPr>
        <b/>
        <sz val="11"/>
        <color rgb="FF0070C0"/>
        <rFont val="Arial"/>
        <family val="2"/>
      </rPr>
      <t>S</t>
    </r>
    <r>
      <rPr>
        <b/>
        <vertAlign val="subscript"/>
        <sz val="11"/>
        <color rgb="FF0070C0"/>
        <rFont val="Arial"/>
        <family val="2"/>
      </rPr>
      <t>a</t>
    </r>
    <r>
      <rPr>
        <b/>
        <sz val="11"/>
        <color rgb="FF0070C0"/>
        <rFont val="Arial"/>
        <family val="2"/>
      </rPr>
      <t xml:space="preserve"> Axle Spacing</t>
    </r>
    <r>
      <rPr>
        <sz val="11"/>
        <color theme="1"/>
        <rFont val="Arial"/>
        <family val="2"/>
      </rPr>
      <t xml:space="preserve">                                                                                                                                                                                                                                                                                                                                 </t>
    </r>
    <r>
      <rPr>
        <i/>
        <sz val="10"/>
        <color theme="1"/>
        <rFont val="Arial"/>
        <family val="2"/>
      </rPr>
      <t>Refer to AASHTO LRFD Bridge Design Specifications, 8th Ed.  Section 3.6.1.2.3.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</si>
</sst>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0.0000"/>
    <numFmt numFmtId="165" formatCode="0.000"/>
    <numFmt numFmtId="166" formatCode="0.0000"/>
    <numFmt numFmtId="167" formatCode="#,##0.000"/>
    <numFmt numFmtId="168" formatCode="0.0%"/>
    <numFmt numFmtId="169" formatCode="0.000000"/>
  </numFmts>
  <fonts count="39" x14ac:knownFonts="1">
    <font>
      <sz val="11"/>
      <color theme="1"/>
      <name val="Calibri"/>
      <family val="2"/>
      <scheme val="minor"/>
    </font>
    <font>
      <sz val="11"/>
      <color theme="1"/>
      <name val="Calibri"/>
      <family val="2"/>
      <scheme val="minor"/>
    </font>
    <font>
      <sz val="11"/>
      <color theme="1"/>
      <name val="Arial"/>
      <family val="2"/>
    </font>
    <font>
      <b/>
      <sz val="16"/>
      <color theme="1"/>
      <name val="Arial"/>
      <family val="2"/>
    </font>
    <font>
      <b/>
      <sz val="11"/>
      <color rgb="FFFF0000"/>
      <name val="Arial"/>
      <family val="2"/>
    </font>
    <font>
      <b/>
      <sz val="11"/>
      <color theme="1"/>
      <name val="Arial"/>
      <family val="2"/>
    </font>
    <font>
      <b/>
      <i/>
      <u/>
      <sz val="11"/>
      <color theme="1"/>
      <name val="Arial"/>
      <family val="2"/>
    </font>
    <font>
      <sz val="10"/>
      <color theme="1"/>
      <name val="Arial"/>
      <family val="2"/>
    </font>
    <font>
      <b/>
      <sz val="11"/>
      <color theme="4" tint="-0.249977111117893"/>
      <name val="Arial"/>
      <family val="2"/>
    </font>
    <font>
      <vertAlign val="subscript"/>
      <sz val="10"/>
      <color theme="1"/>
      <name val="Arial"/>
      <family val="2"/>
    </font>
    <font>
      <vertAlign val="subscript"/>
      <sz val="11"/>
      <color theme="1"/>
      <name val="Arial"/>
      <family val="2"/>
    </font>
    <font>
      <vertAlign val="subscript"/>
      <sz val="11"/>
      <color theme="1"/>
      <name val="Calibri"/>
      <family val="2"/>
      <scheme val="minor"/>
    </font>
    <font>
      <b/>
      <sz val="11"/>
      <color rgb="FF0070C0"/>
      <name val="Arial"/>
      <family val="2"/>
    </font>
    <font>
      <b/>
      <sz val="14"/>
      <color theme="1"/>
      <name val="Calibri"/>
      <family val="2"/>
      <scheme val="minor"/>
    </font>
    <font>
      <b/>
      <sz val="12"/>
      <color rgb="FF0070C0"/>
      <name val="Arial"/>
      <family val="2"/>
    </font>
    <font>
      <b/>
      <sz val="10"/>
      <color rgb="FF555555"/>
      <name val="Arial"/>
      <family val="2"/>
    </font>
    <font>
      <b/>
      <vertAlign val="superscript"/>
      <sz val="10"/>
      <color rgb="FF555555"/>
      <name val="Arial"/>
      <family val="2"/>
    </font>
    <font>
      <sz val="10"/>
      <color rgb="FF555555"/>
      <name val="Arial"/>
      <family val="2"/>
    </font>
    <font>
      <sz val="11"/>
      <color rgb="FFFF0000"/>
      <name val="Arial"/>
      <family val="2"/>
    </font>
    <font>
      <vertAlign val="superscript"/>
      <sz val="11"/>
      <color theme="1"/>
      <name val="Arial"/>
      <family val="2"/>
    </font>
    <font>
      <i/>
      <sz val="10"/>
      <color theme="1"/>
      <name val="Arial"/>
      <family val="2"/>
    </font>
    <font>
      <b/>
      <sz val="11"/>
      <color theme="1"/>
      <name val="Calibri"/>
      <family val="2"/>
      <scheme val="minor"/>
    </font>
    <font>
      <b/>
      <sz val="11"/>
      <color rgb="FF00B050"/>
      <name val="Arial"/>
      <family val="2"/>
    </font>
    <font>
      <sz val="12"/>
      <color theme="1"/>
      <name val="Trebuchet MS"/>
      <family val="2"/>
    </font>
    <font>
      <i/>
      <sz val="10"/>
      <name val="Arial"/>
      <family val="2"/>
    </font>
    <font>
      <i/>
      <u/>
      <sz val="11"/>
      <color theme="1"/>
      <name val="Arial"/>
      <family val="2"/>
    </font>
    <font>
      <b/>
      <sz val="15"/>
      <name val="Arial"/>
      <family val="2"/>
    </font>
    <font>
      <b/>
      <sz val="15"/>
      <color theme="1"/>
      <name val="Arial"/>
      <family val="2"/>
    </font>
    <font>
      <b/>
      <sz val="11"/>
      <color theme="0"/>
      <name val="Arial"/>
      <family val="2"/>
    </font>
    <font>
      <b/>
      <sz val="10"/>
      <color theme="1"/>
      <name val="Arial"/>
      <family val="2"/>
    </font>
    <font>
      <sz val="10"/>
      <color rgb="FF0070C0"/>
      <name val="Arial"/>
      <family val="2"/>
    </font>
    <font>
      <b/>
      <sz val="10"/>
      <color rgb="FF0070C0"/>
      <name val="Arial"/>
      <family val="2"/>
    </font>
    <font>
      <b/>
      <vertAlign val="subscript"/>
      <sz val="11"/>
      <color rgb="FF0070C0"/>
      <name val="Arial"/>
      <family val="2"/>
    </font>
    <font>
      <i/>
      <vertAlign val="subscript"/>
      <sz val="10"/>
      <name val="Arial"/>
      <family val="2"/>
    </font>
    <font>
      <sz val="11"/>
      <color rgb="FF0070C0"/>
      <name val="Calibri"/>
      <family val="2"/>
      <scheme val="minor"/>
    </font>
    <font>
      <i/>
      <sz val="10"/>
      <color rgb="FFFF0000"/>
      <name val="Arial"/>
      <family val="2"/>
    </font>
    <font>
      <sz val="11"/>
      <color rgb="FF0070C0"/>
      <name val="Arial"/>
      <family val="2"/>
    </font>
    <font>
      <sz val="10"/>
      <name val="Arial"/>
      <family val="2"/>
    </font>
    <font>
      <b/>
      <i/>
      <sz val="11"/>
      <color rgb="FF0070C0"/>
      <name val="Arial"/>
      <family val="2"/>
    </font>
  </fonts>
  <fills count="13">
    <fill>
      <patternFill patternType="none"/>
    </fill>
    <fill>
      <patternFill patternType="gray125"/>
    </fill>
    <fill>
      <patternFill patternType="solid">
        <fgColor rgb="FF92D050"/>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indexed="64"/>
      </patternFill>
    </fill>
    <fill>
      <patternFill patternType="solid">
        <fgColor rgb="FFCCCCCC"/>
        <bgColor indexed="64"/>
      </patternFill>
    </fill>
    <fill>
      <patternFill patternType="solid">
        <fgColor theme="4" tint="0.79998168889431442"/>
        <bgColor indexed="64"/>
      </patternFill>
    </fill>
    <fill>
      <patternFill patternType="solid">
        <fgColor rgb="FFFFC000"/>
        <bgColor indexed="64"/>
      </patternFill>
    </fill>
    <fill>
      <patternFill patternType="solid">
        <fgColor theme="5" tint="0.79998168889431442"/>
        <bgColor indexed="64"/>
      </patternFill>
    </fill>
    <fill>
      <patternFill patternType="solid">
        <fgColor theme="0"/>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s>
  <cellStyleXfs count="2">
    <xf numFmtId="0" fontId="0" fillId="0" borderId="0"/>
    <xf numFmtId="43" fontId="1" fillId="0" borderId="0" applyFont="0" applyFill="0" applyBorder="0" applyAlignment="0" applyProtection="0"/>
  </cellStyleXfs>
  <cellXfs count="230">
    <xf numFmtId="0" fontId="0" fillId="0" borderId="0" xfId="0"/>
    <xf numFmtId="2" fontId="12" fillId="3" borderId="4" xfId="0" applyNumberFormat="1" applyFont="1" applyFill="1" applyBorder="1" applyAlignment="1" applyProtection="1">
      <alignment horizontal="center" vertical="center"/>
    </xf>
    <xf numFmtId="0" fontId="0" fillId="0" borderId="0" xfId="0" applyAlignment="1">
      <alignment horizontal="center" vertical="center"/>
    </xf>
    <xf numFmtId="0" fontId="0" fillId="2" borderId="4" xfId="0" applyFill="1" applyBorder="1" applyAlignment="1">
      <alignment horizontal="center" vertical="center"/>
    </xf>
    <xf numFmtId="0" fontId="2" fillId="4" borderId="0" xfId="0" applyFont="1" applyFill="1" applyProtection="1"/>
    <xf numFmtId="4" fontId="8" fillId="4" borderId="0" xfId="0" applyNumberFormat="1" applyFont="1" applyFill="1" applyAlignment="1" applyProtection="1">
      <alignment horizontal="center"/>
    </xf>
    <xf numFmtId="4" fontId="12" fillId="5" borderId="4" xfId="1" applyNumberFormat="1" applyFont="1" applyFill="1" applyBorder="1" applyAlignment="1" applyProtection="1">
      <alignment horizontal="center" vertical="center"/>
      <protection locked="0"/>
    </xf>
    <xf numFmtId="0" fontId="2" fillId="0" borderId="6" xfId="0" applyFont="1" applyFill="1" applyBorder="1" applyProtection="1"/>
    <xf numFmtId="0" fontId="2" fillId="0" borderId="7" xfId="0" applyFont="1" applyFill="1" applyBorder="1" applyProtection="1"/>
    <xf numFmtId="0" fontId="2" fillId="0" borderId="8" xfId="0" applyFont="1" applyFill="1" applyBorder="1" applyProtection="1"/>
    <xf numFmtId="0" fontId="2" fillId="0" borderId="9" xfId="0" applyFont="1" applyFill="1" applyBorder="1" applyProtection="1"/>
    <xf numFmtId="0" fontId="2" fillId="0" borderId="10" xfId="0" applyFont="1" applyFill="1" applyBorder="1" applyProtection="1"/>
    <xf numFmtId="0" fontId="2" fillId="0" borderId="0" xfId="0" applyFont="1" applyBorder="1" applyProtection="1"/>
    <xf numFmtId="0" fontId="5" fillId="0" borderId="0" xfId="0" applyFont="1" applyBorder="1" applyProtection="1"/>
    <xf numFmtId="0" fontId="6" fillId="0" borderId="0" xfId="0" applyFont="1" applyBorder="1" applyProtection="1"/>
    <xf numFmtId="0" fontId="2" fillId="0" borderId="0" xfId="0" applyFont="1" applyFill="1" applyBorder="1" applyProtection="1"/>
    <xf numFmtId="0" fontId="6" fillId="0" borderId="0" xfId="0" applyFont="1" applyBorder="1" applyAlignment="1" applyProtection="1"/>
    <xf numFmtId="0" fontId="7" fillId="0" borderId="0" xfId="0" applyFont="1" applyBorder="1" applyProtection="1"/>
    <xf numFmtId="4" fontId="8" fillId="0" borderId="0" xfId="0" applyNumberFormat="1" applyFont="1" applyBorder="1" applyAlignment="1" applyProtection="1">
      <alignment horizontal="center"/>
    </xf>
    <xf numFmtId="0" fontId="2" fillId="0" borderId="11" xfId="0" applyFont="1" applyFill="1" applyBorder="1" applyProtection="1"/>
    <xf numFmtId="0" fontId="2" fillId="0" borderId="12" xfId="0" applyFont="1" applyBorder="1" applyProtection="1"/>
    <xf numFmtId="4" fontId="8" fillId="0" borderId="12" xfId="0" applyNumberFormat="1" applyFont="1" applyBorder="1" applyAlignment="1" applyProtection="1">
      <alignment horizontal="center"/>
    </xf>
    <xf numFmtId="0" fontId="4" fillId="0" borderId="12" xfId="0" applyFont="1" applyBorder="1" applyAlignment="1" applyProtection="1">
      <alignment vertical="center" wrapText="1"/>
    </xf>
    <xf numFmtId="0" fontId="2" fillId="0" borderId="13" xfId="0" applyFont="1" applyFill="1" applyBorder="1" applyProtection="1"/>
    <xf numFmtId="0" fontId="0" fillId="0" borderId="6" xfId="0" applyBorder="1"/>
    <xf numFmtId="0" fontId="0" fillId="0" borderId="7" xfId="0" applyBorder="1"/>
    <xf numFmtId="0" fontId="0" fillId="0" borderId="7" xfId="0" applyBorder="1" applyAlignment="1">
      <alignment horizontal="center" vertical="center"/>
    </xf>
    <xf numFmtId="0" fontId="0" fillId="0" borderId="8" xfId="0" applyBorder="1"/>
    <xf numFmtId="0" fontId="0" fillId="0" borderId="0" xfId="0" applyBorder="1"/>
    <xf numFmtId="0" fontId="0" fillId="0" borderId="0" xfId="0" applyBorder="1" applyAlignment="1">
      <alignment horizontal="center" vertical="center"/>
    </xf>
    <xf numFmtId="0" fontId="0" fillId="0" borderId="10" xfId="0" applyBorder="1"/>
    <xf numFmtId="0" fontId="0" fillId="0" borderId="9" xfId="0" applyBorder="1"/>
    <xf numFmtId="0" fontId="0" fillId="0" borderId="12" xfId="0" applyBorder="1" applyAlignment="1">
      <alignment horizontal="center" vertical="center"/>
    </xf>
    <xf numFmtId="0" fontId="0" fillId="0" borderId="13" xfId="0" applyBorder="1"/>
    <xf numFmtId="0" fontId="6" fillId="0" borderId="0" xfId="0" applyFont="1" applyBorder="1"/>
    <xf numFmtId="0" fontId="0" fillId="0" borderId="11" xfId="0" applyBorder="1"/>
    <xf numFmtId="0" fontId="5" fillId="0" borderId="0" xfId="0" applyFont="1" applyBorder="1" applyAlignment="1" applyProtection="1">
      <alignment vertical="top"/>
    </xf>
    <xf numFmtId="0" fontId="0" fillId="6" borderId="4" xfId="0" applyFill="1" applyBorder="1" applyAlignment="1">
      <alignment horizontal="center" vertical="center"/>
    </xf>
    <xf numFmtId="0" fontId="2" fillId="0" borderId="0" xfId="0" applyFont="1" applyBorder="1" applyAlignment="1">
      <alignment horizontal="left" vertical="top" wrapText="1"/>
    </xf>
    <xf numFmtId="0" fontId="7" fillId="0" borderId="0" xfId="0" applyFont="1" applyBorder="1" applyAlignment="1">
      <alignment horizontal="left" vertical="top" wrapText="1"/>
    </xf>
    <xf numFmtId="0" fontId="0" fillId="0" borderId="12" xfId="0" applyBorder="1" applyAlignment="1"/>
    <xf numFmtId="4" fontId="2" fillId="0" borderId="0" xfId="0" applyNumberFormat="1" applyFont="1" applyBorder="1" applyAlignment="1">
      <alignment horizontal="left" vertical="top" wrapText="1"/>
    </xf>
    <xf numFmtId="4" fontId="2" fillId="0" borderId="0" xfId="0" applyNumberFormat="1" applyFont="1" applyBorder="1" applyProtection="1"/>
    <xf numFmtId="4" fontId="12" fillId="0" borderId="0" xfId="1" applyNumberFormat="1" applyFont="1" applyFill="1" applyBorder="1" applyAlignment="1" applyProtection="1">
      <alignment horizontal="center"/>
      <protection locked="0"/>
    </xf>
    <xf numFmtId="4" fontId="14" fillId="5" borderId="4" xfId="1" applyNumberFormat="1" applyFont="1" applyFill="1" applyBorder="1" applyAlignment="1" applyProtection="1">
      <alignment horizontal="center" vertical="center"/>
      <protection locked="0"/>
    </xf>
    <xf numFmtId="164" fontId="12" fillId="5" borderId="4" xfId="1" applyNumberFormat="1" applyFont="1" applyFill="1" applyBorder="1" applyAlignment="1" applyProtection="1">
      <alignment horizontal="center" vertical="center"/>
      <protection locked="0"/>
    </xf>
    <xf numFmtId="0" fontId="15" fillId="8" borderId="15" xfId="0" applyFont="1" applyFill="1" applyBorder="1" applyAlignment="1">
      <alignment horizontal="center" vertical="center" wrapText="1"/>
    </xf>
    <xf numFmtId="0" fontId="17" fillId="7" borderId="15" xfId="0" applyFont="1" applyFill="1" applyBorder="1" applyAlignment="1">
      <alignment horizontal="center" vertical="center" wrapText="1"/>
    </xf>
    <xf numFmtId="12" fontId="17" fillId="7" borderId="15" xfId="0" applyNumberFormat="1" applyFont="1" applyFill="1" applyBorder="1" applyAlignment="1">
      <alignment horizontal="center" vertical="center" wrapText="1"/>
    </xf>
    <xf numFmtId="13" fontId="17" fillId="7" borderId="15" xfId="0" applyNumberFormat="1" applyFont="1" applyFill="1" applyBorder="1" applyAlignment="1">
      <alignment horizontal="center" vertical="center" wrapText="1"/>
    </xf>
    <xf numFmtId="166" fontId="12" fillId="3" borderId="4" xfId="0" applyNumberFormat="1" applyFont="1" applyFill="1" applyBorder="1" applyAlignment="1" applyProtection="1">
      <alignment horizontal="center" vertical="center"/>
    </xf>
    <xf numFmtId="1" fontId="12" fillId="3" borderId="4" xfId="0" applyNumberFormat="1" applyFont="1" applyFill="1" applyBorder="1" applyAlignment="1" applyProtection="1">
      <alignment horizontal="center" vertical="center"/>
    </xf>
    <xf numFmtId="0" fontId="4" fillId="0" borderId="0" xfId="0" applyFont="1" applyBorder="1" applyAlignment="1" applyProtection="1">
      <alignment vertical="center" wrapText="1"/>
    </xf>
    <xf numFmtId="0" fontId="6" fillId="0" borderId="0" xfId="0" applyFont="1" applyBorder="1" applyAlignment="1" applyProtection="1">
      <alignment vertical="center"/>
    </xf>
    <xf numFmtId="0" fontId="2" fillId="0" borderId="12" xfId="0" applyFont="1" applyFill="1" applyBorder="1" applyProtection="1"/>
    <xf numFmtId="4" fontId="8" fillId="0" borderId="12" xfId="0" applyNumberFormat="1" applyFont="1" applyFill="1" applyBorder="1" applyAlignment="1" applyProtection="1">
      <alignment horizontal="center"/>
    </xf>
    <xf numFmtId="0" fontId="0" fillId="0" borderId="12" xfId="0" applyBorder="1" applyAlignment="1">
      <alignment horizontal="left"/>
    </xf>
    <xf numFmtId="0" fontId="2" fillId="0" borderId="0" xfId="0" applyFont="1" applyBorder="1" applyAlignment="1">
      <alignment horizontal="left" vertical="top" wrapText="1"/>
    </xf>
    <xf numFmtId="0" fontId="7" fillId="0" borderId="0" xfId="0" applyFont="1" applyBorder="1" applyAlignment="1">
      <alignment horizontal="left" vertical="top" wrapText="1"/>
    </xf>
    <xf numFmtId="167" fontId="12" fillId="5" borderId="4" xfId="1" applyNumberFormat="1" applyFont="1" applyFill="1" applyBorder="1" applyAlignment="1" applyProtection="1">
      <alignment horizontal="center" vertical="center"/>
      <protection locked="0"/>
    </xf>
    <xf numFmtId="0" fontId="7" fillId="0" borderId="0" xfId="0" applyFont="1" applyBorder="1" applyAlignment="1" applyProtection="1">
      <alignment horizontal="left"/>
    </xf>
    <xf numFmtId="0" fontId="7" fillId="0" borderId="0" xfId="0" applyFont="1" applyBorder="1" applyAlignment="1" applyProtection="1"/>
    <xf numFmtId="4" fontId="12" fillId="5" borderId="16" xfId="1" applyNumberFormat="1" applyFont="1" applyFill="1" applyBorder="1" applyAlignment="1" applyProtection="1">
      <alignment horizontal="center" vertical="center"/>
      <protection locked="0"/>
    </xf>
    <xf numFmtId="2" fontId="2" fillId="4" borderId="0" xfId="0" applyNumberFormat="1" applyFont="1" applyFill="1" applyProtection="1"/>
    <xf numFmtId="0" fontId="7" fillId="0" borderId="12" xfId="0" applyFont="1" applyBorder="1" applyProtection="1"/>
    <xf numFmtId="4" fontId="12" fillId="3" borderId="4" xfId="1" applyNumberFormat="1" applyFont="1" applyFill="1" applyBorder="1" applyAlignment="1" applyProtection="1">
      <alignment horizontal="center"/>
    </xf>
    <xf numFmtId="0" fontId="5" fillId="0" borderId="0" xfId="0" applyFont="1" applyBorder="1" applyAlignment="1" applyProtection="1"/>
    <xf numFmtId="4" fontId="12" fillId="3" borderId="4" xfId="1" applyNumberFormat="1" applyFont="1" applyFill="1" applyBorder="1" applyAlignment="1" applyProtection="1">
      <alignment horizontal="center" vertical="center"/>
    </xf>
    <xf numFmtId="0" fontId="5" fillId="0" borderId="0" xfId="0" applyFont="1" applyBorder="1" applyAlignment="1" applyProtection="1">
      <alignment vertical="center"/>
    </xf>
    <xf numFmtId="0" fontId="2" fillId="0" borderId="0" xfId="0" applyFont="1" applyBorder="1" applyAlignment="1">
      <alignment horizontal="left" vertical="top" wrapText="1"/>
    </xf>
    <xf numFmtId="0" fontId="0" fillId="6" borderId="0" xfId="0" applyFill="1" applyBorder="1" applyAlignment="1">
      <alignment horizontal="center" vertical="center"/>
    </xf>
    <xf numFmtId="0" fontId="4" fillId="0" borderId="0" xfId="0" applyFont="1" applyBorder="1" applyAlignment="1" applyProtection="1">
      <alignment horizontal="left" vertical="center" wrapText="1"/>
    </xf>
    <xf numFmtId="10" fontId="12" fillId="5" borderId="4" xfId="1" applyNumberFormat="1" applyFont="1" applyFill="1" applyBorder="1" applyAlignment="1" applyProtection="1">
      <alignment horizontal="center" vertical="center"/>
      <protection locked="0"/>
    </xf>
    <xf numFmtId="0" fontId="7" fillId="0" borderId="0" xfId="0" applyFont="1" applyBorder="1" applyAlignment="1" applyProtection="1">
      <alignment horizontal="left" vertical="top" wrapText="1"/>
    </xf>
    <xf numFmtId="0" fontId="4" fillId="0" borderId="4" xfId="0" applyFont="1" applyBorder="1" applyAlignment="1" applyProtection="1"/>
    <xf numFmtId="0" fontId="2" fillId="0" borderId="12" xfId="0" applyFont="1" applyBorder="1" applyAlignment="1" applyProtection="1">
      <alignment horizontal="center"/>
    </xf>
    <xf numFmtId="0" fontId="2" fillId="0" borderId="0" xfId="0" applyFont="1" applyBorder="1" applyAlignment="1" applyProtection="1">
      <alignment horizontal="center" vertical="center"/>
    </xf>
    <xf numFmtId="0" fontId="2" fillId="0" borderId="0" xfId="0" applyFont="1" applyFill="1" applyBorder="1" applyAlignment="1" applyProtection="1">
      <alignment horizontal="center" vertical="center"/>
    </xf>
    <xf numFmtId="0" fontId="2" fillId="4" borderId="0" xfId="0" applyFont="1" applyFill="1" applyAlignment="1" applyProtection="1">
      <alignment horizontal="center" vertical="center"/>
    </xf>
    <xf numFmtId="0" fontId="2" fillId="0" borderId="7"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2" fillId="0" borderId="12" xfId="0" applyFont="1" applyBorder="1" applyAlignment="1" applyProtection="1">
      <alignment horizontal="center" vertical="center"/>
    </xf>
    <xf numFmtId="0" fontId="7" fillId="0" borderId="0" xfId="0" applyFont="1" applyFill="1" applyBorder="1" applyAlignment="1" applyProtection="1">
      <alignment horizontal="left"/>
    </xf>
    <xf numFmtId="0" fontId="0" fillId="6" borderId="0" xfId="0" applyFill="1" applyBorder="1"/>
    <xf numFmtId="0" fontId="0" fillId="6" borderId="0" xfId="0" applyFill="1"/>
    <xf numFmtId="0" fontId="0" fillId="6" borderId="0" xfId="0" applyFill="1" applyAlignment="1">
      <alignment horizontal="center"/>
    </xf>
    <xf numFmtId="164" fontId="12" fillId="5" borderId="4" xfId="1" applyNumberFormat="1" applyFont="1" applyFill="1" applyBorder="1" applyAlignment="1" applyProtection="1">
      <alignment horizontal="center" vertical="center" wrapText="1"/>
      <protection locked="0"/>
    </xf>
    <xf numFmtId="0" fontId="0" fillId="0" borderId="12" xfId="0" applyBorder="1"/>
    <xf numFmtId="0" fontId="23" fillId="0" borderId="12" xfId="0" applyFont="1" applyBorder="1" applyAlignment="1">
      <alignment vertical="center"/>
    </xf>
    <xf numFmtId="4" fontId="8" fillId="0" borderId="0" xfId="0" applyNumberFormat="1" applyFont="1" applyFill="1" applyBorder="1" applyAlignment="1" applyProtection="1">
      <alignment horizontal="center"/>
    </xf>
    <xf numFmtId="0" fontId="0" fillId="6" borderId="0" xfId="0" applyFill="1" applyAlignment="1">
      <alignment horizontal="center" vertical="center"/>
    </xf>
    <xf numFmtId="169" fontId="12" fillId="3" borderId="4" xfId="0" applyNumberFormat="1" applyFont="1" applyFill="1" applyBorder="1" applyAlignment="1" applyProtection="1">
      <alignment horizontal="center" vertical="center"/>
    </xf>
    <xf numFmtId="0" fontId="7" fillId="0" borderId="0" xfId="0" applyFont="1" applyFill="1" applyBorder="1" applyAlignment="1" applyProtection="1">
      <alignment horizontal="left" vertical="center" wrapText="1"/>
    </xf>
    <xf numFmtId="0" fontId="7" fillId="0" borderId="0" xfId="0" applyFont="1" applyFill="1" applyBorder="1" applyAlignment="1" applyProtection="1">
      <alignment horizontal="left" vertical="center"/>
    </xf>
    <xf numFmtId="0" fontId="2" fillId="0" borderId="0" xfId="0" applyFont="1" applyBorder="1" applyAlignment="1" applyProtection="1">
      <alignment vertical="center"/>
    </xf>
    <xf numFmtId="0" fontId="6" fillId="0" borderId="0" xfId="0" applyFont="1" applyBorder="1" applyAlignment="1" applyProtection="1">
      <alignment vertical="top"/>
    </xf>
    <xf numFmtId="4" fontId="12" fillId="0" borderId="0" xfId="1" applyNumberFormat="1" applyFont="1" applyFill="1" applyBorder="1" applyAlignment="1" applyProtection="1">
      <alignment horizontal="center" vertical="center"/>
      <protection locked="0"/>
    </xf>
    <xf numFmtId="0" fontId="25" fillId="0" borderId="0" xfId="0" applyFont="1" applyBorder="1" applyAlignment="1" applyProtection="1">
      <alignment vertical="top"/>
    </xf>
    <xf numFmtId="4" fontId="12" fillId="3" borderId="14" xfId="1" applyNumberFormat="1" applyFont="1" applyFill="1" applyBorder="1" applyAlignment="1" applyProtection="1">
      <alignment horizontal="center" vertical="center"/>
    </xf>
    <xf numFmtId="168" fontId="12" fillId="5" borderId="4" xfId="1" applyNumberFormat="1" applyFont="1" applyFill="1" applyBorder="1" applyAlignment="1" applyProtection="1">
      <alignment horizontal="center" vertical="center"/>
      <protection locked="0"/>
    </xf>
    <xf numFmtId="0" fontId="5" fillId="0" borderId="0" xfId="0" applyFont="1" applyBorder="1" applyAlignment="1" applyProtection="1">
      <alignment horizontal="left" vertical="center"/>
    </xf>
    <xf numFmtId="0" fontId="2" fillId="11" borderId="0" xfId="0" applyFont="1" applyFill="1" applyBorder="1" applyAlignment="1" applyProtection="1">
      <alignment horizontal="center" vertical="center"/>
    </xf>
    <xf numFmtId="0" fontId="2" fillId="11" borderId="4" xfId="0" applyFont="1" applyFill="1" applyBorder="1" applyAlignment="1" applyProtection="1">
      <alignment horizontal="center" vertical="center"/>
    </xf>
    <xf numFmtId="4" fontId="12" fillId="5" borderId="4" xfId="1" applyNumberFormat="1" applyFont="1" applyFill="1" applyBorder="1" applyAlignment="1" applyProtection="1">
      <alignment horizontal="center" vertical="center"/>
    </xf>
    <xf numFmtId="0" fontId="7" fillId="6" borderId="0" xfId="0" applyFont="1" applyFill="1" applyBorder="1" applyAlignment="1">
      <alignment horizontal="left" wrapText="1"/>
    </xf>
    <xf numFmtId="0" fontId="7" fillId="6" borderId="0" xfId="0" applyFont="1" applyFill="1" applyBorder="1" applyAlignment="1">
      <alignment horizontal="left"/>
    </xf>
    <xf numFmtId="0" fontId="7" fillId="6" borderId="5" xfId="0" applyFont="1" applyFill="1" applyBorder="1" applyAlignment="1">
      <alignment horizontal="left"/>
    </xf>
    <xf numFmtId="0" fontId="7" fillId="0" borderId="0" xfId="0" applyFont="1" applyBorder="1" applyAlignment="1">
      <alignment horizontal="left"/>
    </xf>
    <xf numFmtId="0" fontId="7" fillId="0" borderId="5" xfId="0" applyFont="1" applyBorder="1" applyAlignment="1">
      <alignment horizontal="left"/>
    </xf>
    <xf numFmtId="0" fontId="7" fillId="0" borderId="0" xfId="0" applyFont="1" applyBorder="1" applyAlignment="1">
      <alignment horizontal="left" wrapText="1"/>
    </xf>
    <xf numFmtId="0" fontId="34" fillId="0" borderId="0" xfId="0" applyFont="1"/>
    <xf numFmtId="0" fontId="34" fillId="0" borderId="4" xfId="0" applyFont="1" applyBorder="1"/>
    <xf numFmtId="164" fontId="28" fillId="12" borderId="0" xfId="1" applyNumberFormat="1" applyFont="1" applyFill="1" applyBorder="1" applyAlignment="1" applyProtection="1">
      <alignment horizontal="center" vertical="center"/>
      <protection locked="0"/>
    </xf>
    <xf numFmtId="0" fontId="2" fillId="4" borderId="0" xfId="0" applyFont="1" applyFill="1" applyAlignment="1" applyProtection="1">
      <alignment horizontal="left" vertical="center"/>
    </xf>
    <xf numFmtId="4" fontId="28" fillId="0" borderId="0" xfId="1" applyNumberFormat="1" applyFont="1" applyFill="1" applyBorder="1" applyAlignment="1" applyProtection="1">
      <alignment horizontal="center" vertical="center"/>
      <protection locked="0"/>
    </xf>
    <xf numFmtId="164" fontId="12" fillId="5" borderId="4" xfId="1" applyNumberFormat="1" applyFont="1" applyFill="1" applyBorder="1" applyAlignment="1" applyProtection="1">
      <alignment horizontal="center" vertical="center"/>
    </xf>
    <xf numFmtId="165" fontId="12" fillId="3" borderId="4" xfId="0" applyNumberFormat="1" applyFont="1" applyFill="1" applyBorder="1" applyAlignment="1" applyProtection="1">
      <alignment horizontal="center" vertical="center"/>
    </xf>
    <xf numFmtId="165" fontId="12" fillId="3" borderId="16" xfId="0" applyNumberFormat="1" applyFont="1" applyFill="1" applyBorder="1" applyAlignment="1" applyProtection="1">
      <alignment horizontal="center" vertical="center"/>
    </xf>
    <xf numFmtId="0" fontId="7" fillId="0" borderId="0" xfId="0" applyFont="1" applyFill="1" applyBorder="1" applyAlignment="1" applyProtection="1">
      <alignment horizontal="left" vertical="center"/>
    </xf>
    <xf numFmtId="0" fontId="2" fillId="0" borderId="0" xfId="0" applyFont="1" applyBorder="1" applyAlignment="1">
      <alignment horizontal="left" vertical="top" wrapText="1"/>
    </xf>
    <xf numFmtId="0" fontId="17" fillId="7" borderId="0" xfId="0" applyFont="1" applyFill="1" applyBorder="1" applyAlignment="1">
      <alignment horizontal="center" vertical="center" wrapText="1"/>
    </xf>
    <xf numFmtId="12" fontId="17" fillId="7" borderId="0" xfId="0" applyNumberFormat="1" applyFont="1" applyFill="1" applyBorder="1" applyAlignment="1">
      <alignment horizontal="center" vertical="center" wrapText="1"/>
    </xf>
    <xf numFmtId="0" fontId="12" fillId="0" borderId="22" xfId="0" applyFont="1" applyBorder="1" applyAlignment="1" applyProtection="1">
      <alignment horizontal="left" vertical="center" wrapText="1"/>
    </xf>
    <xf numFmtId="0" fontId="7" fillId="0" borderId="23" xfId="0" applyFont="1" applyBorder="1" applyAlignment="1" applyProtection="1">
      <alignment horizontal="left" vertical="center" wrapText="1"/>
    </xf>
    <xf numFmtId="0" fontId="7" fillId="0" borderId="24" xfId="0" applyFont="1" applyBorder="1" applyAlignment="1" applyProtection="1">
      <alignment horizontal="left" vertical="center" wrapText="1"/>
    </xf>
    <xf numFmtId="0" fontId="20" fillId="0" borderId="0" xfId="0" applyFont="1" applyBorder="1" applyAlignment="1" applyProtection="1">
      <alignment horizontal="left" vertical="top" wrapText="1"/>
    </xf>
    <xf numFmtId="0" fontId="20" fillId="0" borderId="0" xfId="0" applyFont="1" applyBorder="1" applyAlignment="1" applyProtection="1">
      <alignment horizontal="left" vertical="center" wrapText="1"/>
    </xf>
    <xf numFmtId="0" fontId="13" fillId="0" borderId="1" xfId="0" applyFont="1" applyBorder="1" applyAlignment="1">
      <alignment horizontal="center"/>
    </xf>
    <xf numFmtId="0" fontId="13" fillId="0" borderId="2" xfId="0" applyFont="1" applyBorder="1" applyAlignment="1">
      <alignment horizontal="center"/>
    </xf>
    <xf numFmtId="0" fontId="13" fillId="0" borderId="3" xfId="0" applyFont="1" applyBorder="1" applyAlignment="1">
      <alignment horizontal="center"/>
    </xf>
    <xf numFmtId="0" fontId="7" fillId="6" borderId="0" xfId="0" applyFont="1" applyFill="1" applyBorder="1" applyAlignment="1">
      <alignment horizontal="left"/>
    </xf>
    <xf numFmtId="0" fontId="7" fillId="6" borderId="5" xfId="0" applyFont="1" applyFill="1" applyBorder="1" applyAlignment="1">
      <alignment horizontal="left"/>
    </xf>
    <xf numFmtId="0" fontId="7" fillId="6" borderId="0" xfId="0" applyFont="1" applyFill="1" applyBorder="1" applyAlignment="1">
      <alignment horizontal="left" wrapText="1"/>
    </xf>
    <xf numFmtId="0" fontId="21" fillId="6" borderId="0" xfId="0" quotePrefix="1" applyFont="1" applyFill="1" applyAlignment="1">
      <alignment horizontal="center"/>
    </xf>
    <xf numFmtId="0" fontId="7" fillId="0" borderId="0" xfId="0" applyFont="1" applyBorder="1" applyAlignment="1">
      <alignment horizontal="left" vertical="top" wrapText="1"/>
    </xf>
    <xf numFmtId="0" fontId="7" fillId="0" borderId="0" xfId="0" applyFont="1" applyBorder="1" applyAlignment="1">
      <alignment horizontal="left" vertical="top"/>
    </xf>
    <xf numFmtId="0" fontId="7" fillId="0" borderId="5" xfId="0" applyFont="1" applyBorder="1" applyAlignment="1">
      <alignment horizontal="left" vertical="top"/>
    </xf>
    <xf numFmtId="0" fontId="2" fillId="0" borderId="0" xfId="0" applyFont="1" applyBorder="1" applyAlignment="1">
      <alignment horizontal="left" vertical="top" wrapText="1"/>
    </xf>
    <xf numFmtId="0" fontId="2" fillId="0" borderId="5" xfId="0" applyFont="1" applyBorder="1" applyAlignment="1">
      <alignment horizontal="left" vertical="top" wrapText="1"/>
    </xf>
    <xf numFmtId="0" fontId="7" fillId="6" borderId="0" xfId="0" applyFont="1" applyFill="1" applyBorder="1" applyAlignment="1">
      <alignment horizontal="left" vertical="top" wrapText="1"/>
    </xf>
    <xf numFmtId="0" fontId="7" fillId="6" borderId="0" xfId="0" applyFont="1" applyFill="1" applyBorder="1" applyAlignment="1">
      <alignment horizontal="left" vertical="top"/>
    </xf>
    <xf numFmtId="0" fontId="7" fillId="6" borderId="5" xfId="0" applyFont="1" applyFill="1" applyBorder="1" applyAlignment="1">
      <alignment horizontal="left" vertical="top"/>
    </xf>
    <xf numFmtId="0" fontId="3" fillId="9" borderId="1" xfId="0" applyFont="1" applyFill="1" applyBorder="1" applyAlignment="1" applyProtection="1">
      <alignment horizontal="center"/>
    </xf>
    <xf numFmtId="0" fontId="3" fillId="9" borderId="2" xfId="0" applyFont="1" applyFill="1" applyBorder="1" applyAlignment="1" applyProtection="1">
      <alignment horizontal="center"/>
    </xf>
    <xf numFmtId="0" fontId="3" fillId="9" borderId="3" xfId="0" applyFont="1" applyFill="1" applyBorder="1" applyAlignment="1" applyProtection="1">
      <alignment horizontal="center"/>
    </xf>
    <xf numFmtId="0" fontId="26" fillId="10" borderId="6" xfId="0" applyFont="1" applyFill="1" applyBorder="1" applyAlignment="1" applyProtection="1">
      <alignment horizontal="center" vertical="center" wrapText="1"/>
    </xf>
    <xf numFmtId="0" fontId="26" fillId="10" borderId="7" xfId="0" applyFont="1" applyFill="1" applyBorder="1" applyAlignment="1" applyProtection="1">
      <alignment horizontal="center" vertical="center" wrapText="1"/>
    </xf>
    <xf numFmtId="0" fontId="26" fillId="10" borderId="8" xfId="0" applyFont="1" applyFill="1" applyBorder="1" applyAlignment="1" applyProtection="1">
      <alignment horizontal="center" vertical="center" wrapText="1"/>
    </xf>
    <xf numFmtId="0" fontId="12" fillId="0" borderId="22" xfId="0" applyFont="1" applyBorder="1" applyAlignment="1" applyProtection="1">
      <alignment horizontal="left" vertical="center"/>
    </xf>
    <xf numFmtId="0" fontId="12" fillId="0" borderId="23" xfId="0" applyFont="1" applyBorder="1" applyAlignment="1" applyProtection="1">
      <alignment horizontal="left" vertical="center"/>
    </xf>
    <xf numFmtId="0" fontId="12" fillId="0" borderId="24" xfId="0" applyFont="1" applyBorder="1" applyAlignment="1" applyProtection="1">
      <alignment horizontal="left" vertical="center"/>
    </xf>
    <xf numFmtId="0" fontId="22" fillId="0" borderId="4" xfId="0" applyFont="1" applyBorder="1" applyAlignment="1" applyProtection="1">
      <alignment horizontal="left" vertical="center" wrapText="1"/>
    </xf>
    <xf numFmtId="0" fontId="12" fillId="0" borderId="23" xfId="0" applyFont="1" applyBorder="1" applyAlignment="1" applyProtection="1">
      <alignment horizontal="left" vertical="center" wrapText="1"/>
    </xf>
    <xf numFmtId="0" fontId="12" fillId="0" borderId="24" xfId="0" applyFont="1" applyBorder="1" applyAlignment="1" applyProtection="1">
      <alignment horizontal="left" vertical="center" wrapText="1"/>
    </xf>
    <xf numFmtId="0" fontId="12" fillId="0" borderId="22" xfId="0" applyFont="1" applyFill="1" applyBorder="1" applyAlignment="1" applyProtection="1">
      <alignment horizontal="left" vertical="center" wrapText="1"/>
    </xf>
    <xf numFmtId="0" fontId="12" fillId="0" borderId="23" xfId="0" applyFont="1" applyFill="1" applyBorder="1" applyAlignment="1" applyProtection="1">
      <alignment horizontal="left" vertical="center" wrapText="1"/>
    </xf>
    <xf numFmtId="0" fontId="12" fillId="0" borderId="24" xfId="0" applyFont="1" applyFill="1" applyBorder="1" applyAlignment="1" applyProtection="1">
      <alignment horizontal="left" vertical="center" wrapText="1"/>
    </xf>
    <xf numFmtId="0" fontId="7" fillId="0" borderId="0" xfId="0" applyFont="1" applyBorder="1" applyAlignment="1" applyProtection="1">
      <alignment horizontal="left"/>
    </xf>
    <xf numFmtId="0" fontId="7" fillId="0" borderId="5" xfId="0" applyFont="1" applyBorder="1" applyAlignment="1" applyProtection="1">
      <alignment horizontal="left"/>
    </xf>
    <xf numFmtId="0" fontId="12" fillId="0" borderId="22" xfId="0" applyFont="1" applyFill="1" applyBorder="1" applyAlignment="1" applyProtection="1">
      <alignment horizontal="left" vertical="center"/>
    </xf>
    <xf numFmtId="0" fontId="12" fillId="0" borderId="23" xfId="0" applyFont="1" applyFill="1" applyBorder="1" applyAlignment="1" applyProtection="1">
      <alignment horizontal="left" vertical="center"/>
    </xf>
    <xf numFmtId="0" fontId="12" fillId="0" borderId="24" xfId="0" applyFont="1" applyFill="1" applyBorder="1" applyAlignment="1" applyProtection="1">
      <alignment horizontal="left" vertical="center"/>
    </xf>
    <xf numFmtId="0" fontId="7" fillId="0" borderId="22" xfId="0" applyFont="1" applyFill="1" applyBorder="1" applyAlignment="1" applyProtection="1">
      <alignment horizontal="left" vertical="center" wrapText="1"/>
    </xf>
    <xf numFmtId="0" fontId="7" fillId="0" borderId="23" xfId="0" applyFont="1" applyFill="1" applyBorder="1" applyAlignment="1" applyProtection="1">
      <alignment horizontal="left" vertical="center" wrapText="1"/>
    </xf>
    <xf numFmtId="0" fontId="7" fillId="0" borderId="24" xfId="0" applyFont="1" applyFill="1" applyBorder="1" applyAlignment="1" applyProtection="1">
      <alignment horizontal="left" vertical="center" wrapText="1"/>
    </xf>
    <xf numFmtId="0" fontId="7" fillId="0" borderId="0" xfId="0" applyFont="1" applyFill="1" applyBorder="1" applyAlignment="1" applyProtection="1">
      <alignment horizontal="left"/>
    </xf>
    <xf numFmtId="0" fontId="7" fillId="0" borderId="5" xfId="0" applyFont="1" applyFill="1" applyBorder="1" applyAlignment="1" applyProtection="1">
      <alignment horizontal="left"/>
    </xf>
    <xf numFmtId="0" fontId="2" fillId="0" borderId="23" xfId="0" applyFont="1" applyFill="1" applyBorder="1" applyAlignment="1" applyProtection="1">
      <alignment horizontal="left" vertical="center"/>
    </xf>
    <xf numFmtId="0" fontId="2" fillId="0" borderId="24" xfId="0" applyFont="1" applyFill="1" applyBorder="1" applyAlignment="1" applyProtection="1">
      <alignment horizontal="left" vertical="center"/>
    </xf>
    <xf numFmtId="0" fontId="7" fillId="0" borderId="22" xfId="0" applyFont="1" applyBorder="1" applyAlignment="1" applyProtection="1">
      <alignment horizontal="left" vertical="center" wrapText="1"/>
    </xf>
    <xf numFmtId="0" fontId="26" fillId="10" borderId="11" xfId="0" applyFont="1" applyFill="1" applyBorder="1" applyAlignment="1" applyProtection="1">
      <alignment horizontal="center" vertical="center" wrapText="1"/>
    </xf>
    <xf numFmtId="0" fontId="26" fillId="10" borderId="12" xfId="0" applyFont="1" applyFill="1" applyBorder="1" applyAlignment="1" applyProtection="1">
      <alignment horizontal="center" vertical="center" wrapText="1"/>
    </xf>
    <xf numFmtId="0" fontId="26" fillId="10" borderId="13" xfId="0" applyFont="1" applyFill="1" applyBorder="1" applyAlignment="1" applyProtection="1">
      <alignment horizontal="center" vertical="center" wrapText="1"/>
    </xf>
    <xf numFmtId="0" fontId="12" fillId="0" borderId="19" xfId="0" applyFont="1" applyBorder="1" applyAlignment="1" applyProtection="1">
      <alignment horizontal="left"/>
      <protection locked="0"/>
    </xf>
    <xf numFmtId="0" fontId="12" fillId="0" borderId="20" xfId="0" applyFont="1" applyBorder="1" applyAlignment="1" applyProtection="1">
      <alignment horizontal="left"/>
      <protection locked="0"/>
    </xf>
    <xf numFmtId="0" fontId="7" fillId="0" borderId="22" xfId="0" applyFont="1" applyFill="1" applyBorder="1" applyAlignment="1" applyProtection="1">
      <alignment horizontal="left" wrapText="1"/>
    </xf>
    <xf numFmtId="0" fontId="7" fillId="0" borderId="23" xfId="0" applyFont="1" applyFill="1" applyBorder="1" applyAlignment="1" applyProtection="1">
      <alignment horizontal="left" wrapText="1"/>
    </xf>
    <xf numFmtId="0" fontId="7" fillId="0" borderId="24" xfId="0" applyFont="1" applyFill="1" applyBorder="1" applyAlignment="1" applyProtection="1">
      <alignment horizontal="left" wrapText="1"/>
    </xf>
    <xf numFmtId="0" fontId="7" fillId="0" borderId="0" xfId="0" applyFont="1" applyBorder="1" applyAlignment="1" applyProtection="1">
      <alignment horizontal="left" wrapText="1"/>
    </xf>
    <xf numFmtId="0" fontId="2" fillId="0" borderId="0" xfId="0" applyFont="1" applyFill="1" applyBorder="1" applyAlignment="1" applyProtection="1">
      <alignment horizontal="left" vertical="center" wrapText="1"/>
    </xf>
    <xf numFmtId="0" fontId="2" fillId="0" borderId="22" xfId="0" applyFont="1" applyFill="1" applyBorder="1" applyAlignment="1" applyProtection="1">
      <alignment horizontal="left" vertical="center" wrapText="1"/>
    </xf>
    <xf numFmtId="0" fontId="2" fillId="0" borderId="23" xfId="0" applyFont="1" applyFill="1" applyBorder="1" applyAlignment="1" applyProtection="1">
      <alignment horizontal="left" vertical="center" wrapText="1"/>
    </xf>
    <xf numFmtId="0" fontId="2" fillId="0" borderId="24" xfId="0" applyFont="1" applyFill="1" applyBorder="1" applyAlignment="1" applyProtection="1">
      <alignment horizontal="left" vertical="center" wrapText="1"/>
    </xf>
    <xf numFmtId="0" fontId="7" fillId="6" borderId="0" xfId="0" applyFont="1" applyFill="1" applyBorder="1" applyAlignment="1">
      <alignment horizontal="left" vertical="center" wrapText="1"/>
    </xf>
    <xf numFmtId="0" fontId="7" fillId="6" borderId="0" xfId="0" applyFont="1" applyFill="1" applyBorder="1" applyAlignment="1">
      <alignment horizontal="left" vertical="center"/>
    </xf>
    <xf numFmtId="0" fontId="7" fillId="6" borderId="5" xfId="0" applyFont="1" applyFill="1" applyBorder="1" applyAlignment="1">
      <alignment horizontal="left" vertical="center"/>
    </xf>
    <xf numFmtId="0" fontId="7" fillId="0" borderId="22" xfId="0" applyFont="1" applyFill="1" applyBorder="1" applyAlignment="1" applyProtection="1">
      <alignment horizontal="left" vertical="top" wrapText="1"/>
    </xf>
    <xf numFmtId="0" fontId="7" fillId="0" borderId="23" xfId="0" applyFont="1" applyFill="1" applyBorder="1" applyAlignment="1" applyProtection="1">
      <alignment horizontal="left" vertical="top" wrapText="1"/>
    </xf>
    <xf numFmtId="0" fontId="7" fillId="0" borderId="24" xfId="0" applyFont="1" applyFill="1" applyBorder="1" applyAlignment="1" applyProtection="1">
      <alignment horizontal="left" vertical="top" wrapText="1"/>
    </xf>
    <xf numFmtId="0" fontId="2" fillId="0" borderId="22" xfId="0" applyFont="1" applyFill="1" applyBorder="1" applyAlignment="1" applyProtection="1">
      <alignment horizontal="left" vertical="center"/>
    </xf>
    <xf numFmtId="0" fontId="12" fillId="0" borderId="0" xfId="0" applyFont="1" applyFill="1" applyBorder="1" applyAlignment="1" applyProtection="1">
      <alignment horizontal="left" vertical="center" wrapText="1"/>
    </xf>
    <xf numFmtId="0" fontId="2" fillId="0" borderId="0" xfId="0" applyFont="1" applyFill="1" applyBorder="1" applyAlignment="1" applyProtection="1">
      <alignment horizontal="left" vertical="center"/>
    </xf>
    <xf numFmtId="0" fontId="7" fillId="0" borderId="0" xfId="0" applyFont="1" applyBorder="1" applyAlignment="1">
      <alignment horizontal="left"/>
    </xf>
    <xf numFmtId="0" fontId="7" fillId="0" borderId="5" xfId="0" applyFont="1" applyBorder="1" applyAlignment="1">
      <alignment horizontal="left"/>
    </xf>
    <xf numFmtId="0" fontId="7" fillId="0" borderId="0" xfId="0" applyFont="1" applyBorder="1" applyAlignment="1">
      <alignment horizontal="left" wrapText="1"/>
    </xf>
    <xf numFmtId="0" fontId="7" fillId="0" borderId="0" xfId="0" applyFont="1" applyBorder="1" applyAlignment="1" applyProtection="1">
      <alignment horizontal="left" vertical="center"/>
    </xf>
    <xf numFmtId="0" fontId="7" fillId="0" borderId="22" xfId="0" applyFont="1" applyBorder="1" applyAlignment="1" applyProtection="1">
      <alignment horizontal="left" vertical="center"/>
    </xf>
    <xf numFmtId="0" fontId="7" fillId="0" borderId="23" xfId="0" applyFont="1" applyBorder="1" applyAlignment="1" applyProtection="1">
      <alignment horizontal="left" vertical="center"/>
    </xf>
    <xf numFmtId="0" fontId="7" fillId="0" borderId="24" xfId="0" applyFont="1" applyBorder="1" applyAlignment="1" applyProtection="1">
      <alignment horizontal="left" vertical="center"/>
    </xf>
    <xf numFmtId="0" fontId="7" fillId="0" borderId="22" xfId="0" applyFont="1" applyFill="1" applyBorder="1" applyAlignment="1" applyProtection="1">
      <alignment horizontal="left" vertical="center"/>
    </xf>
    <xf numFmtId="0" fontId="7" fillId="0" borderId="23" xfId="0" applyFont="1" applyFill="1" applyBorder="1" applyAlignment="1" applyProtection="1">
      <alignment horizontal="left" vertical="center"/>
    </xf>
    <xf numFmtId="0" fontId="7" fillId="0" borderId="24" xfId="0" applyFont="1" applyFill="1" applyBorder="1" applyAlignment="1" applyProtection="1">
      <alignment horizontal="left" vertical="center"/>
    </xf>
    <xf numFmtId="0" fontId="7" fillId="0" borderId="0" xfId="0" applyFont="1" applyFill="1" applyBorder="1" applyAlignment="1" applyProtection="1">
      <alignment horizontal="left" vertical="center"/>
    </xf>
    <xf numFmtId="0" fontId="7" fillId="0" borderId="5" xfId="0" applyFont="1" applyFill="1" applyBorder="1" applyAlignment="1" applyProtection="1">
      <alignment horizontal="left" vertical="center"/>
    </xf>
    <xf numFmtId="0" fontId="27" fillId="10" borderId="11" xfId="0" applyFont="1" applyFill="1" applyBorder="1" applyAlignment="1" applyProtection="1">
      <alignment horizontal="center" vertical="center" wrapText="1"/>
    </xf>
    <xf numFmtId="0" fontId="27" fillId="10" borderId="12" xfId="0" applyFont="1" applyFill="1" applyBorder="1" applyAlignment="1" applyProtection="1">
      <alignment horizontal="center" vertical="center" wrapText="1"/>
    </xf>
    <xf numFmtId="0" fontId="27" fillId="10" borderId="13" xfId="0" applyFont="1" applyFill="1" applyBorder="1" applyAlignment="1" applyProtection="1">
      <alignment horizontal="center" vertical="center" wrapText="1"/>
    </xf>
    <xf numFmtId="0" fontId="12" fillId="0" borderId="18" xfId="0" applyFont="1" applyBorder="1" applyAlignment="1" applyProtection="1">
      <alignment horizontal="left"/>
      <protection locked="0"/>
    </xf>
    <xf numFmtId="0" fontId="27" fillId="10" borderId="6" xfId="0" applyFont="1" applyFill="1" applyBorder="1" applyAlignment="1" applyProtection="1">
      <alignment horizontal="center" vertical="center" wrapText="1"/>
    </xf>
    <xf numFmtId="0" fontId="27" fillId="10" borderId="7" xfId="0" applyFont="1" applyFill="1" applyBorder="1" applyAlignment="1" applyProtection="1">
      <alignment horizontal="center" vertical="center" wrapText="1"/>
    </xf>
    <xf numFmtId="0" fontId="27" fillId="10" borderId="8" xfId="0" applyFont="1" applyFill="1" applyBorder="1" applyAlignment="1" applyProtection="1">
      <alignment horizontal="center" vertical="center" wrapText="1"/>
    </xf>
    <xf numFmtId="0" fontId="36" fillId="0" borderId="0" xfId="0" applyFont="1" applyFill="1" applyBorder="1" applyAlignment="1" applyProtection="1">
      <alignment horizontal="left" vertical="center" wrapText="1"/>
    </xf>
    <xf numFmtId="0" fontId="35" fillId="0" borderId="0" xfId="0" applyFont="1" applyBorder="1" applyAlignment="1" applyProtection="1">
      <alignment horizontal="left" vertical="top" wrapText="1"/>
    </xf>
    <xf numFmtId="0" fontId="35" fillId="0" borderId="0" xfId="0" applyFont="1" applyBorder="1" applyAlignment="1" applyProtection="1">
      <alignment horizontal="left" vertical="center" wrapText="1"/>
    </xf>
    <xf numFmtId="0" fontId="18" fillId="0" borderId="17" xfId="0" applyFont="1" applyBorder="1" applyAlignment="1" applyProtection="1">
      <alignment horizontal="left" vertical="center" wrapText="1"/>
    </xf>
    <xf numFmtId="0" fontId="7" fillId="0" borderId="22" xfId="0" applyFont="1" applyBorder="1" applyAlignment="1" applyProtection="1">
      <alignment horizontal="left" vertical="top" wrapText="1"/>
    </xf>
    <xf numFmtId="0" fontId="7" fillId="0" borderId="23" xfId="0" applyFont="1" applyBorder="1" applyAlignment="1" applyProtection="1">
      <alignment horizontal="left" vertical="top" wrapText="1"/>
    </xf>
    <xf numFmtId="0" fontId="7" fillId="0" borderId="24" xfId="0" applyFont="1" applyBorder="1" applyAlignment="1" applyProtection="1">
      <alignment horizontal="left" vertical="top" wrapText="1"/>
    </xf>
    <xf numFmtId="0" fontId="12" fillId="0" borderId="5" xfId="0" applyFont="1" applyFill="1" applyBorder="1" applyAlignment="1" applyProtection="1">
      <alignment horizontal="left" vertical="center" wrapText="1"/>
    </xf>
    <xf numFmtId="0" fontId="24" fillId="0" borderId="21" xfId="0" applyFont="1" applyBorder="1" applyAlignment="1" applyProtection="1">
      <alignment horizontal="left" vertical="center" wrapText="1"/>
    </xf>
    <xf numFmtId="0" fontId="24" fillId="0" borderId="0" xfId="0" applyFont="1" applyBorder="1" applyAlignment="1" applyProtection="1">
      <alignment horizontal="left" vertical="center" wrapText="1"/>
    </xf>
    <xf numFmtId="0" fontId="12" fillId="0" borderId="22" xfId="0" applyFont="1" applyFill="1" applyBorder="1" applyAlignment="1" applyProtection="1">
      <alignment horizontal="left" vertical="top" wrapText="1"/>
    </xf>
    <xf numFmtId="0" fontId="12" fillId="0" borderId="23" xfId="0" applyFont="1" applyFill="1" applyBorder="1" applyAlignment="1" applyProtection="1">
      <alignment horizontal="left" vertical="top" wrapText="1"/>
    </xf>
    <xf numFmtId="0" fontId="12" fillId="0" borderId="24" xfId="0" applyFont="1" applyFill="1" applyBorder="1" applyAlignment="1" applyProtection="1">
      <alignment horizontal="left" vertical="top" wrapText="1"/>
    </xf>
    <xf numFmtId="0" fontId="27" fillId="10" borderId="11" xfId="0" applyFont="1" applyFill="1" applyBorder="1" applyAlignment="1" applyProtection="1">
      <alignment horizontal="center" wrapText="1"/>
    </xf>
    <xf numFmtId="0" fontId="27" fillId="10" borderId="12" xfId="0" applyFont="1" applyFill="1" applyBorder="1" applyAlignment="1" applyProtection="1">
      <alignment horizontal="center" wrapText="1"/>
    </xf>
    <xf numFmtId="0" fontId="27" fillId="10" borderId="13" xfId="0" applyFont="1" applyFill="1" applyBorder="1" applyAlignment="1" applyProtection="1">
      <alignment horizontal="center" wrapText="1"/>
    </xf>
    <xf numFmtId="0" fontId="27" fillId="10" borderId="6" xfId="0" applyFont="1" applyFill="1" applyBorder="1" applyAlignment="1" applyProtection="1">
      <alignment horizontal="center" wrapText="1"/>
    </xf>
    <xf numFmtId="0" fontId="27" fillId="10" borderId="7" xfId="0" applyFont="1" applyFill="1" applyBorder="1" applyAlignment="1" applyProtection="1">
      <alignment horizontal="center" wrapText="1"/>
    </xf>
    <xf numFmtId="0" fontId="27" fillId="10" borderId="8" xfId="0" applyFont="1" applyFill="1" applyBorder="1" applyAlignment="1" applyProtection="1">
      <alignment horizontal="center" wrapText="1"/>
    </xf>
  </cellXfs>
  <cellStyles count="2">
    <cellStyle name="Comma" xfId="1" builtinId="3"/>
    <cellStyle name="Normal" xfId="0" builtinId="0"/>
  </cellStyles>
  <dxfs count="46">
    <dxf>
      <font>
        <color rgb="FFFF0000"/>
      </font>
    </dxf>
    <dxf>
      <font>
        <color rgb="FFFF0000"/>
      </font>
      <border>
        <left style="dashed">
          <color auto="1"/>
        </left>
        <right style="dashed">
          <color auto="1"/>
        </right>
        <bottom style="dashed">
          <color auto="1"/>
        </bottom>
        <vertical/>
        <horizontal/>
      </border>
    </dxf>
    <dxf>
      <font>
        <color rgb="FFFF0000"/>
      </font>
      <border>
        <left style="dashed">
          <color auto="1"/>
        </left>
        <right style="dashed">
          <color auto="1"/>
        </right>
        <top style="dashed">
          <color auto="1"/>
        </top>
        <vertical/>
        <horizontal/>
      </border>
    </dxf>
    <dxf>
      <font>
        <b/>
        <i val="0"/>
        <color rgb="FF0070C0"/>
      </font>
      <fill>
        <patternFill>
          <bgColor theme="0" tint="-0.14996795556505021"/>
        </patternFill>
      </fill>
      <border>
        <left style="thin">
          <color auto="1"/>
        </left>
        <right style="thin">
          <color auto="1"/>
        </right>
        <top style="thin">
          <color auto="1"/>
        </top>
        <bottom style="thin">
          <color auto="1"/>
        </bottom>
      </border>
    </dxf>
    <dxf>
      <font>
        <b/>
        <i val="0"/>
        <color rgb="FF0070C0"/>
      </font>
      <border>
        <left style="dashed">
          <color auto="1"/>
        </left>
        <right/>
        <top style="dashed">
          <color auto="1"/>
        </top>
        <bottom style="dashed">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ont>
        <color rgb="FFFF0000"/>
      </font>
    </dxf>
    <dxf>
      <font>
        <color rgb="FFFF0000"/>
      </font>
    </dxf>
    <dxf>
      <font>
        <color rgb="FFFF0000"/>
      </font>
    </dxf>
    <dxf>
      <font>
        <color rgb="FFFF0000"/>
      </font>
    </dxf>
    <dxf>
      <font>
        <color rgb="FFFF0000"/>
      </font>
      <border>
        <left style="dashed">
          <color auto="1"/>
        </left>
        <right style="dashed">
          <color auto="1"/>
        </right>
        <bottom style="dashed">
          <color auto="1"/>
        </bottom>
        <vertical/>
        <horizontal/>
      </border>
    </dxf>
    <dxf>
      <font>
        <color rgb="FFFF0000"/>
      </font>
      <border>
        <left style="dashed">
          <color auto="1"/>
        </left>
        <right style="dashed">
          <color auto="1"/>
        </right>
        <top style="dashed">
          <color auto="1"/>
        </top>
        <vertical/>
        <horizontal/>
      </border>
    </dxf>
    <dxf>
      <font>
        <b/>
        <i val="0"/>
        <color rgb="FF0070C0"/>
      </font>
      <fill>
        <patternFill>
          <bgColor theme="0" tint="-0.14996795556505021"/>
        </patternFill>
      </fill>
      <border>
        <left style="thin">
          <color auto="1"/>
        </left>
        <right style="thin">
          <color auto="1"/>
        </right>
        <top style="thin">
          <color auto="1"/>
        </top>
        <bottom style="thin">
          <color auto="1"/>
        </bottom>
      </border>
    </dxf>
    <dxf>
      <font>
        <b/>
        <i val="0"/>
        <color rgb="FF0070C0"/>
      </font>
      <border>
        <left style="dashed">
          <color auto="1"/>
        </left>
        <right/>
        <top style="dashed">
          <color auto="1"/>
        </top>
        <bottom style="dashed">
          <color auto="1"/>
        </bottom>
        <vertical/>
        <horizontal/>
      </border>
    </dxf>
    <dxf>
      <fill>
        <patternFill>
          <bgColor theme="5" tint="0.79998168889431442"/>
        </patternFill>
      </fill>
      <border>
        <left style="thin">
          <color auto="1"/>
        </left>
        <right style="thin">
          <color auto="1"/>
        </right>
        <top style="thin">
          <color auto="1"/>
        </top>
        <bottom style="thin">
          <color auto="1"/>
        </bottom>
      </border>
    </dxf>
    <dxf>
      <font>
        <color rgb="FFFF0000"/>
      </font>
    </dxf>
    <dxf>
      <font>
        <color rgb="FFFF0000"/>
      </font>
    </dxf>
    <dxf>
      <font>
        <color rgb="FFFF0000"/>
      </font>
      <fill>
        <patternFill>
          <bgColor theme="0"/>
        </patternFill>
      </fill>
    </dxf>
    <dxf>
      <font>
        <b/>
        <i val="0"/>
        <color rgb="FF0070C0"/>
      </font>
      <fill>
        <patternFill>
          <bgColor theme="0" tint="-0.14996795556505021"/>
        </patternFill>
      </fill>
      <border>
        <left style="thin">
          <color auto="1"/>
        </left>
        <right style="thin">
          <color auto="1"/>
        </right>
        <top style="thin">
          <color auto="1"/>
        </top>
        <bottom style="thin">
          <color auto="1"/>
        </bottom>
        <vertical/>
        <horizontal/>
      </border>
    </dxf>
    <dxf>
      <font>
        <b/>
        <i val="0"/>
        <color rgb="FF0070C0"/>
      </font>
      <fill>
        <patternFill>
          <bgColor theme="0" tint="-0.14996795556505021"/>
        </patternFill>
      </fill>
      <border>
        <left style="thin">
          <color auto="1"/>
        </left>
        <right style="thin">
          <color auto="1"/>
        </right>
        <top style="thin">
          <color auto="1"/>
        </top>
        <bottom style="thin">
          <color auto="1"/>
        </bottom>
        <vertical/>
        <horizontal/>
      </border>
    </dxf>
    <dxf>
      <fill>
        <patternFill>
          <bgColor theme="5" tint="0.79998168889431442"/>
        </patternFill>
      </fill>
      <border>
        <right style="thin">
          <color auto="1"/>
        </right>
        <top style="thin">
          <color auto="1"/>
        </top>
        <bottom style="thin">
          <color auto="1"/>
        </bottom>
        <vertical/>
        <horizontal/>
      </border>
    </dxf>
    <dxf>
      <fill>
        <patternFill>
          <bgColor theme="5" tint="0.79998168889431442"/>
        </patternFill>
      </fill>
      <border>
        <left/>
        <right style="thin">
          <color auto="1"/>
        </right>
        <top style="thin">
          <color auto="1"/>
        </top>
        <bottom style="thin">
          <color auto="1"/>
        </bottom>
        <vertical/>
        <horizontal/>
      </border>
    </dxf>
    <dxf>
      <font>
        <b/>
        <i val="0"/>
        <color rgb="FF0070C0"/>
      </font>
      <border>
        <left style="dashed">
          <color auto="1"/>
        </left>
        <top style="dashed">
          <color auto="1"/>
        </top>
        <bottom style="dashed">
          <color auto="1"/>
        </bottom>
        <vertical/>
        <horizontal/>
      </border>
    </dxf>
    <dxf>
      <font>
        <b/>
        <i val="0"/>
        <color rgb="FF0070C0"/>
      </font>
      <border>
        <left style="dashed">
          <color auto="1"/>
        </left>
        <top style="dashed">
          <color auto="1"/>
        </top>
        <bottom style="dashed">
          <color auto="1"/>
        </bottom>
        <vertical/>
        <horizontal/>
      </border>
    </dxf>
    <dxf>
      <font>
        <color rgb="FFFF0000"/>
      </font>
      <border>
        <left style="dashed">
          <color auto="1"/>
        </left>
        <right style="dashed">
          <color auto="1"/>
        </right>
        <bottom style="dashed">
          <color auto="1"/>
        </bottom>
        <vertical/>
        <horizontal/>
      </border>
    </dxf>
    <dxf>
      <font>
        <color rgb="FFFF0000"/>
      </font>
      <border>
        <left style="dashed">
          <color auto="1"/>
        </left>
        <right style="dashed">
          <color auto="1"/>
        </right>
        <top style="dashed">
          <color auto="1"/>
        </top>
        <vertical/>
        <horizontal/>
      </border>
    </dxf>
    <dxf>
      <font>
        <b/>
        <i val="0"/>
        <color rgb="FF0070C0"/>
      </font>
      <fill>
        <patternFill>
          <bgColor theme="0" tint="-0.14996795556505021"/>
        </patternFill>
      </fill>
      <border>
        <left style="thin">
          <color auto="1"/>
        </left>
        <right style="thin">
          <color auto="1"/>
        </right>
        <top style="thin">
          <color auto="1"/>
        </top>
        <bottom style="thin">
          <color auto="1"/>
        </bottom>
      </border>
    </dxf>
    <dxf>
      <font>
        <color rgb="FFFF0000"/>
      </font>
    </dxf>
    <dxf>
      <font>
        <color rgb="FFFF0000"/>
      </font>
    </dxf>
    <dxf>
      <font>
        <color rgb="FFFF0000"/>
      </font>
    </dxf>
    <dxf>
      <font>
        <color rgb="FFFF0000"/>
      </font>
    </dxf>
    <dxf>
      <font>
        <b/>
        <i val="0"/>
        <color rgb="FF0070C0"/>
      </font>
      <border>
        <left style="dashed">
          <color auto="1"/>
        </left>
        <right/>
        <top style="dashed">
          <color auto="1"/>
        </top>
        <bottom style="dashed">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ont>
        <b/>
        <i val="0"/>
        <color rgb="FF0070C0"/>
      </font>
      <fill>
        <patternFill>
          <bgColor theme="0" tint="-0.14996795556505021"/>
        </patternFill>
      </fill>
      <border>
        <left style="thin">
          <color auto="1"/>
        </left>
        <right style="thin">
          <color auto="1"/>
        </right>
        <top style="thin">
          <color auto="1"/>
        </top>
        <bottom style="thin">
          <color auto="1"/>
        </bottom>
      </border>
    </dxf>
    <dxf>
      <fill>
        <patternFill>
          <bgColor theme="5" tint="0.79998168889431442"/>
        </patternFill>
      </fill>
      <border>
        <left style="thin">
          <color auto="1"/>
        </left>
        <right style="thin">
          <color auto="1"/>
        </right>
        <top style="thin">
          <color auto="1"/>
        </top>
        <bottom style="thin">
          <color auto="1"/>
        </bottom>
      </border>
    </dxf>
    <dxf>
      <fill>
        <patternFill>
          <bgColor theme="5" tint="0.79998168889431442"/>
        </patternFill>
      </fill>
      <border>
        <left style="thin">
          <color auto="1"/>
        </left>
        <right style="thin">
          <color auto="1"/>
        </right>
        <top style="thin">
          <color auto="1"/>
        </top>
        <bottom style="thin">
          <color auto="1"/>
        </bottom>
      </border>
    </dxf>
    <dxf>
      <font>
        <b/>
        <i val="0"/>
        <color rgb="FF0070C0"/>
      </font>
      <fill>
        <patternFill>
          <bgColor theme="0" tint="-0.14996795556505021"/>
        </patternFill>
      </fill>
      <border>
        <left style="thin">
          <color auto="1"/>
        </left>
        <right style="thin">
          <color auto="1"/>
        </right>
        <top style="thin">
          <color auto="1"/>
        </top>
        <bottom style="thin">
          <color auto="1"/>
        </bottom>
        <vertical/>
        <horizontal/>
      </border>
    </dxf>
    <dxf>
      <font>
        <b/>
        <i val="0"/>
        <color rgb="FF0070C0"/>
      </font>
      <fill>
        <patternFill>
          <bgColor theme="0" tint="-0.14996795556505021"/>
        </patternFill>
      </fill>
      <border>
        <left style="thin">
          <color auto="1"/>
        </left>
        <right style="thin">
          <color auto="1"/>
        </right>
        <top style="thin">
          <color auto="1"/>
        </top>
        <bottom style="thin">
          <color auto="1"/>
        </bottom>
        <vertical/>
        <horizontal/>
      </border>
    </dxf>
    <dxf>
      <font>
        <b/>
        <i val="0"/>
        <color rgb="FF0070C0"/>
      </font>
      <border>
        <left style="dashed">
          <color auto="1"/>
        </left>
        <top style="dashed">
          <color auto="1"/>
        </top>
        <bottom style="dashed">
          <color auto="1"/>
        </bottom>
        <vertical/>
        <horizontal/>
      </border>
    </dxf>
    <dxf>
      <font>
        <b/>
        <i val="0"/>
        <color rgb="FF0070C0"/>
      </font>
      <border>
        <left style="dashed">
          <color auto="1"/>
        </left>
        <top style="dashed">
          <color auto="1"/>
        </top>
        <bottom style="dashed">
          <color auto="1"/>
        </bottom>
        <vertical/>
        <horizontal/>
      </border>
    </dxf>
    <dxf>
      <font>
        <color rgb="FFFF0000"/>
      </font>
      <border>
        <left style="dashed">
          <color auto="1"/>
        </left>
        <right style="dashed">
          <color auto="1"/>
        </right>
        <bottom style="dashed">
          <color auto="1"/>
        </bottom>
        <vertical/>
        <horizontal/>
      </border>
    </dxf>
    <dxf>
      <font>
        <color rgb="FFFF0000"/>
      </font>
      <border>
        <left style="dashed">
          <color auto="1"/>
        </left>
        <right style="dashed">
          <color auto="1"/>
        </right>
        <top style="dashed">
          <color auto="1"/>
        </top>
        <vertical/>
        <horizontal/>
      </border>
    </dxf>
    <dxf>
      <font>
        <color rgb="FFFF0000"/>
      </font>
      <fill>
        <patternFill>
          <bgColor theme="0"/>
        </patternFill>
      </fill>
    </dxf>
    <dxf>
      <font>
        <color rgb="FFFF0000"/>
      </font>
      <fill>
        <patternFill>
          <bgColor theme="0"/>
        </patternFill>
      </fill>
    </dxf>
    <dxf>
      <border>
        <left style="dashed">
          <color auto="1"/>
        </left>
        <right/>
        <top style="dashed">
          <color auto="1"/>
        </top>
        <bottom style="dashed">
          <color auto="1"/>
        </bottom>
        <vertical/>
        <horizontal/>
      </border>
    </dxf>
    <dxf>
      <fill>
        <patternFill>
          <bgColor theme="5" tint="0.79998168889431442"/>
        </patternFill>
      </fill>
      <border>
        <left style="thin">
          <color auto="1"/>
        </left>
        <right style="thin">
          <color auto="1"/>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8.jpeg"/><Relationship Id="rId5" Type="http://schemas.openxmlformats.org/officeDocument/2006/relationships/image" Target="../media/image7.jpeg"/><Relationship Id="rId10" Type="http://schemas.openxmlformats.org/officeDocument/2006/relationships/image" Target="../media/image12.JPG"/><Relationship Id="rId4" Type="http://schemas.openxmlformats.org/officeDocument/2006/relationships/image" Target="../media/image6.png"/><Relationship Id="rId9" Type="http://schemas.openxmlformats.org/officeDocument/2006/relationships/image" Target="../media/image1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jpeg"/><Relationship Id="rId1" Type="http://schemas.openxmlformats.org/officeDocument/2006/relationships/image" Target="../media/image15.PNG"/><Relationship Id="rId6" Type="http://schemas.openxmlformats.org/officeDocument/2006/relationships/image" Target="../media/image16.jpeg"/><Relationship Id="rId5" Type="http://schemas.openxmlformats.org/officeDocument/2006/relationships/image" Target="../media/image7.jpeg"/><Relationship Id="rId10" Type="http://schemas.openxmlformats.org/officeDocument/2006/relationships/image" Target="../media/image12.JPG"/><Relationship Id="rId4" Type="http://schemas.openxmlformats.org/officeDocument/2006/relationships/image" Target="../media/image6.png"/><Relationship Id="rId9" Type="http://schemas.openxmlformats.org/officeDocument/2006/relationships/image" Target="../media/image1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19.jpeg"/><Relationship Id="rId5" Type="http://schemas.openxmlformats.org/officeDocument/2006/relationships/image" Target="../media/image7.jpeg"/><Relationship Id="rId10" Type="http://schemas.openxmlformats.org/officeDocument/2006/relationships/image" Target="../media/image12.JPG"/><Relationship Id="rId4" Type="http://schemas.openxmlformats.org/officeDocument/2006/relationships/image" Target="../media/image6.png"/><Relationship Id="rId9" Type="http://schemas.openxmlformats.org/officeDocument/2006/relationships/image" Target="../media/image11.PNG"/></Relationships>
</file>

<file path=xl/drawings/_rels/drawing4.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jpeg"/><Relationship Id="rId1" Type="http://schemas.openxmlformats.org/officeDocument/2006/relationships/image" Target="../media/image15.PNG"/><Relationship Id="rId6" Type="http://schemas.openxmlformats.org/officeDocument/2006/relationships/image" Target="../media/image16.jpeg"/><Relationship Id="rId11" Type="http://schemas.openxmlformats.org/officeDocument/2006/relationships/image" Target="../media/image22.emf"/><Relationship Id="rId5" Type="http://schemas.openxmlformats.org/officeDocument/2006/relationships/image" Target="../media/image7.jpeg"/><Relationship Id="rId10" Type="http://schemas.openxmlformats.org/officeDocument/2006/relationships/image" Target="../media/image12.JPG"/><Relationship Id="rId4" Type="http://schemas.openxmlformats.org/officeDocument/2006/relationships/image" Target="../media/image6.png"/><Relationship Id="rId9" Type="http://schemas.openxmlformats.org/officeDocument/2006/relationships/image" Target="../media/image1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3.emf"/><Relationship Id="rId1" Type="http://schemas.openxmlformats.org/officeDocument/2006/relationships/image" Target="../media/image14.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7.emf"/><Relationship Id="rId1" Type="http://schemas.openxmlformats.org/officeDocument/2006/relationships/image" Target="../media/image18.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20.emf"/><Relationship Id="rId1" Type="http://schemas.openxmlformats.org/officeDocument/2006/relationships/image" Target="../media/image21.emf"/></Relationships>
</file>

<file path=xl/drawings/drawing1.xml><?xml version="1.0" encoding="utf-8"?>
<xdr:wsDr xmlns:xdr="http://schemas.openxmlformats.org/drawingml/2006/spreadsheetDrawing" xmlns:a="http://schemas.openxmlformats.org/drawingml/2006/main">
  <xdr:twoCellAnchor editAs="oneCell">
    <xdr:from>
      <xdr:col>9</xdr:col>
      <xdr:colOff>291354</xdr:colOff>
      <xdr:row>25</xdr:row>
      <xdr:rowOff>59712</xdr:rowOff>
    </xdr:from>
    <xdr:to>
      <xdr:col>15</xdr:col>
      <xdr:colOff>571500</xdr:colOff>
      <xdr:row>30</xdr:row>
      <xdr:rowOff>1176722</xdr:rowOff>
    </xdr:to>
    <xdr:pic>
      <xdr:nvPicPr>
        <xdr:cNvPr id="6" name="Picture 5" descr="Shape&#10;&#10;Description automatically generated">
          <a:extLst>
            <a:ext uri="{FF2B5EF4-FFF2-40B4-BE49-F238E27FC236}">
              <a16:creationId xmlns:a16="http://schemas.microsoft.com/office/drawing/2014/main" id="{00000000-0008-0000-0000-000006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211" r="21800" b="6111"/>
        <a:stretch/>
      </xdr:blipFill>
      <xdr:spPr bwMode="auto">
        <a:xfrm>
          <a:off x="6835589" y="8609800"/>
          <a:ext cx="3910852" cy="3292552"/>
        </a:xfrm>
        <a:prstGeom prst="rect">
          <a:avLst/>
        </a:prstGeom>
        <a:ln w="3175" cap="flat" cmpd="sng" algn="ctr">
          <a:solidFill>
            <a:sysClr val="windowText" lastClr="000000"/>
          </a:solidFill>
          <a:prstDash val="solid"/>
          <a:round/>
          <a:headEnd type="none" w="med" len="med"/>
          <a:tailEnd type="none" w="med" len="med"/>
          <a:extLst>
            <a:ext uri="{C807C97D-BFC1-408E-A445-0C87EB9F89A2}">
              <ask:lineSketchStyleProps xmln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ask="http://schemas.microsoft.com/office/drawing/2018/sketchyshapes" xmlns:lc="http://schemas.openxmlformats.org/drawingml/2006/lockedCanvas" sd="0">
                <a:custGeom>
                  <a:avLst/>
                  <a:gdLst/>
                  <a:ahLst/>
                  <a:cxnLst/>
                  <a:rect l="0" t="0" r="0" b="0"/>
                  <a:pathLst/>
                </a:custGeom>
                <ask:type/>
              </ask:lineSketchStyleProps>
            </a:ext>
          </a:extLst>
        </a:ln>
        <a:extLst>
          <a:ext uri="{53640926-AAD7-44D8-BBD7-CCE9431645EC}">
            <a14:shadowObscured xmlns:a14="http://schemas.microsoft.com/office/drawing/2010/main"/>
          </a:ext>
        </a:extLst>
      </xdr:spPr>
    </xdr:pic>
    <xdr:clientData/>
  </xdr:twoCellAnchor>
  <xdr:twoCellAnchor editAs="oneCell">
    <xdr:from>
      <xdr:col>8</xdr:col>
      <xdr:colOff>268344</xdr:colOff>
      <xdr:row>7</xdr:row>
      <xdr:rowOff>87699</xdr:rowOff>
    </xdr:from>
    <xdr:to>
      <xdr:col>9</xdr:col>
      <xdr:colOff>192372</xdr:colOff>
      <xdr:row>10</xdr:row>
      <xdr:rowOff>71169</xdr:rowOff>
    </xdr:to>
    <xdr:pic>
      <xdr:nvPicPr>
        <xdr:cNvPr id="7" name="Picture 6" descr="C:\Users\najafi\Pictures\DelDOT.jpg">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221344" y="1788592"/>
          <a:ext cx="564934" cy="568577"/>
        </a:xfrm>
        <a:prstGeom prst="rect">
          <a:avLst/>
        </a:prstGeom>
        <a:noFill/>
        <a:ln>
          <a:noFill/>
        </a:ln>
      </xdr:spPr>
    </xdr:pic>
    <xdr:clientData/>
  </xdr:twoCellAnchor>
  <xdr:twoCellAnchor editAs="oneCell">
    <xdr:from>
      <xdr:col>9</xdr:col>
      <xdr:colOff>565277</xdr:colOff>
      <xdr:row>7</xdr:row>
      <xdr:rowOff>87699</xdr:rowOff>
    </xdr:from>
    <xdr:to>
      <xdr:col>11</xdr:col>
      <xdr:colOff>102815</xdr:colOff>
      <xdr:row>10</xdr:row>
      <xdr:rowOff>104300</xdr:rowOff>
    </xdr:to>
    <xdr:pic>
      <xdr:nvPicPr>
        <xdr:cNvPr id="8" name="Picture 7">
          <a:extLst>
            <a:ext uri="{FF2B5EF4-FFF2-40B4-BE49-F238E27FC236}">
              <a16:creationId xmlns:a16="http://schemas.microsoft.com/office/drawing/2014/main" id="{00000000-0008-0000-0000-000008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21810" t="10687" r="20938" b="11450"/>
        <a:stretch/>
      </xdr:blipFill>
      <xdr:spPr>
        <a:xfrm>
          <a:off x="5663953" y="1925464"/>
          <a:ext cx="764218" cy="601708"/>
        </a:xfrm>
        <a:prstGeom prst="rect">
          <a:avLst/>
        </a:prstGeom>
      </xdr:spPr>
    </xdr:pic>
    <xdr:clientData/>
  </xdr:twoCellAnchor>
  <xdr:twoCellAnchor editAs="oneCell">
    <xdr:from>
      <xdr:col>8</xdr:col>
      <xdr:colOff>201123</xdr:colOff>
      <xdr:row>11</xdr:row>
      <xdr:rowOff>144120</xdr:rowOff>
    </xdr:from>
    <xdr:to>
      <xdr:col>11</xdr:col>
      <xdr:colOff>114299</xdr:colOff>
      <xdr:row>13</xdr:row>
      <xdr:rowOff>131420</xdr:rowOff>
    </xdr:to>
    <xdr:pic>
      <xdr:nvPicPr>
        <xdr:cNvPr id="9" name="Picture 8">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135198" y="2696820"/>
          <a:ext cx="1751501" cy="368300"/>
        </a:xfrm>
        <a:prstGeom prst="rect">
          <a:avLst/>
        </a:prstGeom>
      </xdr:spPr>
    </xdr:pic>
    <xdr:clientData/>
  </xdr:twoCellAnchor>
  <xdr:twoCellAnchor editAs="oneCell">
    <xdr:from>
      <xdr:col>11</xdr:col>
      <xdr:colOff>202098</xdr:colOff>
      <xdr:row>7</xdr:row>
      <xdr:rowOff>79415</xdr:rowOff>
    </xdr:from>
    <xdr:to>
      <xdr:col>12</xdr:col>
      <xdr:colOff>367808</xdr:colOff>
      <xdr:row>11</xdr:row>
      <xdr:rowOff>71167</xdr:rowOff>
    </xdr:to>
    <xdr:pic>
      <xdr:nvPicPr>
        <xdr:cNvPr id="10" name="Picture 9">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511010" y="1917180"/>
          <a:ext cx="779049" cy="767359"/>
        </a:xfrm>
        <a:prstGeom prst="rect">
          <a:avLst/>
        </a:prstGeom>
      </xdr:spPr>
    </xdr:pic>
    <xdr:clientData/>
  </xdr:twoCellAnchor>
  <xdr:twoCellAnchor editAs="oneCell">
    <xdr:from>
      <xdr:col>12</xdr:col>
      <xdr:colOff>433951</xdr:colOff>
      <xdr:row>7</xdr:row>
      <xdr:rowOff>134472</xdr:rowOff>
    </xdr:from>
    <xdr:to>
      <xdr:col>15</xdr:col>
      <xdr:colOff>581697</xdr:colOff>
      <xdr:row>10</xdr:row>
      <xdr:rowOff>60540</xdr:rowOff>
    </xdr:to>
    <xdr:pic>
      <xdr:nvPicPr>
        <xdr:cNvPr id="11" name="Picture 10">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7347980" y="1972237"/>
          <a:ext cx="1987766" cy="511175"/>
        </a:xfrm>
        <a:prstGeom prst="rect">
          <a:avLst/>
        </a:prstGeom>
      </xdr:spPr>
    </xdr:pic>
    <xdr:clientData/>
  </xdr:twoCellAnchor>
  <xdr:twoCellAnchor editAs="oneCell">
    <xdr:from>
      <xdr:col>14</xdr:col>
      <xdr:colOff>475369</xdr:colOff>
      <xdr:row>11</xdr:row>
      <xdr:rowOff>133740</xdr:rowOff>
    </xdr:from>
    <xdr:to>
      <xdr:col>16</xdr:col>
      <xdr:colOff>1394</xdr:colOff>
      <xdr:row>13</xdr:row>
      <xdr:rowOff>131200</xdr:rowOff>
    </xdr:to>
    <xdr:pic>
      <xdr:nvPicPr>
        <xdr:cNvPr id="12" name="Picture 11">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0076569" y="2686440"/>
          <a:ext cx="745225" cy="378460"/>
        </a:xfrm>
        <a:prstGeom prst="rect">
          <a:avLst/>
        </a:prstGeom>
      </xdr:spPr>
    </xdr:pic>
    <xdr:clientData/>
  </xdr:twoCellAnchor>
  <xdr:twoCellAnchor editAs="oneCell">
    <xdr:from>
      <xdr:col>12</xdr:col>
      <xdr:colOff>342906</xdr:colOff>
      <xdr:row>11</xdr:row>
      <xdr:rowOff>129598</xdr:rowOff>
    </xdr:from>
    <xdr:to>
      <xdr:col>14</xdr:col>
      <xdr:colOff>439105</xdr:colOff>
      <xdr:row>13</xdr:row>
      <xdr:rowOff>134267</xdr:rowOff>
    </xdr:to>
    <xdr:pic>
      <xdr:nvPicPr>
        <xdr:cNvPr id="13" name="Picture 12">
          <a:extLst>
            <a:ext uri="{FF2B5EF4-FFF2-40B4-BE49-F238E27FC236}">
              <a16:creationId xmlns:a16="http://schemas.microsoft.com/office/drawing/2014/main" id="{00000000-0008-0000-0000-00000D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8724906" y="2682298"/>
          <a:ext cx="1315399" cy="385669"/>
        </a:xfrm>
        <a:prstGeom prst="rect">
          <a:avLst/>
        </a:prstGeom>
      </xdr:spPr>
    </xdr:pic>
    <xdr:clientData/>
  </xdr:twoCellAnchor>
  <xdr:twoCellAnchor editAs="oneCell">
    <xdr:from>
      <xdr:col>10</xdr:col>
      <xdr:colOff>244878</xdr:colOff>
      <xdr:row>33</xdr:row>
      <xdr:rowOff>478975</xdr:rowOff>
    </xdr:from>
    <xdr:to>
      <xdr:col>14</xdr:col>
      <xdr:colOff>391232</xdr:colOff>
      <xdr:row>37</xdr:row>
      <xdr:rowOff>188768</xdr:rowOff>
    </xdr:to>
    <xdr:pic>
      <xdr:nvPicPr>
        <xdr:cNvPr id="14" name="Picture 13">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bwMode="auto">
        <a:xfrm>
          <a:off x="7407678" y="13642525"/>
          <a:ext cx="2584754" cy="85279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9</xdr:col>
      <xdr:colOff>28574</xdr:colOff>
      <xdr:row>18</xdr:row>
      <xdr:rowOff>143992</xdr:rowOff>
    </xdr:from>
    <xdr:to>
      <xdr:col>16</xdr:col>
      <xdr:colOff>81643</xdr:colOff>
      <xdr:row>23</xdr:row>
      <xdr:rowOff>1086971</xdr:rowOff>
    </xdr:to>
    <xdr:pic>
      <xdr:nvPicPr>
        <xdr:cNvPr id="15" name="Picture 14">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l="1751" t="2626" b="2535"/>
        <a:stretch/>
      </xdr:blipFill>
      <xdr:spPr bwMode="auto">
        <a:xfrm>
          <a:off x="6572809" y="4066051"/>
          <a:ext cx="4288893" cy="3666008"/>
        </a:xfrm>
        <a:prstGeom prst="rect">
          <a:avLst/>
        </a:prstGeom>
        <a:ln>
          <a:noFill/>
        </a:ln>
        <a:extLst>
          <a:ext uri="{53640926-AAD7-44D8-BBD7-CCE9431645EC}">
            <a14:shadowObscured xmlns:a14="http://schemas.microsoft.com/office/drawing/2010/main"/>
          </a:ext>
        </a:extLst>
      </xdr:spPr>
    </xdr:pic>
    <xdr:clientData/>
  </xdr:twoCellAnchor>
  <mc:AlternateContent xmlns:mc="http://schemas.openxmlformats.org/markup-compatibility/2006">
    <mc:Choice xmlns:a14="http://schemas.microsoft.com/office/drawing/2010/main" Requires="a14">
      <xdr:twoCellAnchor editAs="oneCell">
        <xdr:from>
          <xdr:col>4</xdr:col>
          <xdr:colOff>19050</xdr:colOff>
          <xdr:row>15</xdr:row>
          <xdr:rowOff>0</xdr:rowOff>
        </xdr:from>
        <xdr:to>
          <xdr:col>5</xdr:col>
          <xdr:colOff>342900</xdr:colOff>
          <xdr:row>17</xdr:row>
          <xdr:rowOff>0</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390525</xdr:colOff>
          <xdr:row>15</xdr:row>
          <xdr:rowOff>0</xdr:rowOff>
        </xdr:from>
        <xdr:to>
          <xdr:col>7</xdr:col>
          <xdr:colOff>0</xdr:colOff>
          <xdr:row>17</xdr:row>
          <xdr:rowOff>0</xdr:rowOff>
        </xdr:to>
        <xdr:sp macro="" textlink="">
          <xdr:nvSpPr>
            <xdr:cNvPr id="1026" name="CommandButton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9</xdr:col>
      <xdr:colOff>242455</xdr:colOff>
      <xdr:row>31</xdr:row>
      <xdr:rowOff>31273</xdr:rowOff>
    </xdr:from>
    <xdr:to>
      <xdr:col>15</xdr:col>
      <xdr:colOff>588819</xdr:colOff>
      <xdr:row>37</xdr:row>
      <xdr:rowOff>1017493</xdr:rowOff>
    </xdr:to>
    <xdr:pic>
      <xdr:nvPicPr>
        <xdr:cNvPr id="2" name="Picture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6833755" y="9813448"/>
          <a:ext cx="4003964" cy="3519870"/>
        </a:xfrm>
        <a:prstGeom prst="rect">
          <a:avLst/>
        </a:prstGeom>
        <a:ln w="3175" cap="flat" cmpd="sng" algn="ctr">
          <a:solidFill>
            <a:sysClr val="windowText" lastClr="000000"/>
          </a:solidFill>
          <a:prstDash val="solid"/>
          <a:round/>
          <a:headEnd type="none" w="med" len="med"/>
          <a:tailEnd type="none" w="med" len="med"/>
          <a:extLst>
            <a:ext uri="{C807C97D-BFC1-408E-A445-0C87EB9F89A2}">
              <ask:lineSketchStyleProps xmln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ask="http://schemas.microsoft.com/office/drawing/2018/sketchyshapes" xmlns:lc="http://schemas.openxmlformats.org/drawingml/2006/lockedCanvas" sd="0">
                <a:custGeom>
                  <a:avLst/>
                  <a:gdLst/>
                  <a:ahLst/>
                  <a:cxnLst/>
                  <a:rect l="0" t="0" r="0" b="0"/>
                  <a:pathLst/>
                </a:custGeom>
                <ask:type/>
              </ask:lineSketchStyleProps>
            </a:ext>
          </a:extLst>
        </a:ln>
        <a:extLst>
          <a:ext uri="{53640926-AAD7-44D8-BBD7-CCE9431645EC}">
            <a14:shadowObscured xmlns:a14="http://schemas.microsoft.com/office/drawing/2010/main"/>
          </a:ext>
        </a:extLst>
      </xdr:spPr>
    </xdr:pic>
    <xdr:clientData/>
  </xdr:twoCellAnchor>
  <xdr:twoCellAnchor editAs="oneCell">
    <xdr:from>
      <xdr:col>8</xdr:col>
      <xdr:colOff>254737</xdr:colOff>
      <xdr:row>7</xdr:row>
      <xdr:rowOff>87699</xdr:rowOff>
    </xdr:from>
    <xdr:to>
      <xdr:col>9</xdr:col>
      <xdr:colOff>200546</xdr:colOff>
      <xdr:row>10</xdr:row>
      <xdr:rowOff>57932</xdr:rowOff>
    </xdr:to>
    <xdr:pic>
      <xdr:nvPicPr>
        <xdr:cNvPr id="3" name="Picture 2" descr="C:\Users\najafi\Pictures\DelDOT.jp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79880" y="1788592"/>
          <a:ext cx="564934" cy="568577"/>
        </a:xfrm>
        <a:prstGeom prst="rect">
          <a:avLst/>
        </a:prstGeom>
        <a:noFill/>
        <a:ln>
          <a:noFill/>
        </a:ln>
      </xdr:spPr>
    </xdr:pic>
    <xdr:clientData/>
  </xdr:twoCellAnchor>
  <xdr:twoCellAnchor editAs="oneCell">
    <xdr:from>
      <xdr:col>9</xdr:col>
      <xdr:colOff>565277</xdr:colOff>
      <xdr:row>7</xdr:row>
      <xdr:rowOff>87699</xdr:rowOff>
    </xdr:from>
    <xdr:to>
      <xdr:col>11</xdr:col>
      <xdr:colOff>131630</xdr:colOff>
      <xdr:row>10</xdr:row>
      <xdr:rowOff>91063</xdr:rowOff>
    </xdr:to>
    <xdr:pic>
      <xdr:nvPicPr>
        <xdr:cNvPr id="4" name="Picture 3">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21810" t="10687" r="20938" b="11450"/>
        <a:stretch/>
      </xdr:blipFill>
      <xdr:spPr>
        <a:xfrm>
          <a:off x="5689727" y="1792674"/>
          <a:ext cx="773182" cy="601708"/>
        </a:xfrm>
        <a:prstGeom prst="rect">
          <a:avLst/>
        </a:prstGeom>
      </xdr:spPr>
    </xdr:pic>
    <xdr:clientData/>
  </xdr:twoCellAnchor>
  <xdr:twoCellAnchor editAs="oneCell">
    <xdr:from>
      <xdr:col>8</xdr:col>
      <xdr:colOff>186717</xdr:colOff>
      <xdr:row>11</xdr:row>
      <xdr:rowOff>144120</xdr:rowOff>
    </xdr:from>
    <xdr:to>
      <xdr:col>11</xdr:col>
      <xdr:colOff>114299</xdr:colOff>
      <xdr:row>13</xdr:row>
      <xdr:rowOff>133400</xdr:rowOff>
    </xdr:to>
    <xdr:pic>
      <xdr:nvPicPr>
        <xdr:cNvPr id="5" name="Picture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158892" y="2734920"/>
          <a:ext cx="1765907" cy="370280"/>
        </a:xfrm>
        <a:prstGeom prst="rect">
          <a:avLst/>
        </a:prstGeom>
      </xdr:spPr>
    </xdr:pic>
    <xdr:clientData/>
  </xdr:twoCellAnchor>
  <xdr:twoCellAnchor editAs="oneCell">
    <xdr:from>
      <xdr:col>11</xdr:col>
      <xdr:colOff>202098</xdr:colOff>
      <xdr:row>7</xdr:row>
      <xdr:rowOff>79415</xdr:rowOff>
    </xdr:from>
    <xdr:to>
      <xdr:col>12</xdr:col>
      <xdr:colOff>382215</xdr:colOff>
      <xdr:row>11</xdr:row>
      <xdr:rowOff>57930</xdr:rowOff>
    </xdr:to>
    <xdr:pic>
      <xdr:nvPicPr>
        <xdr:cNvPr id="6" name="Picture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545748" y="1784390"/>
          <a:ext cx="783532" cy="767359"/>
        </a:xfrm>
        <a:prstGeom prst="rect">
          <a:avLst/>
        </a:prstGeom>
      </xdr:spPr>
    </xdr:pic>
    <xdr:clientData/>
  </xdr:twoCellAnchor>
  <xdr:twoCellAnchor editAs="oneCell">
    <xdr:from>
      <xdr:col>12</xdr:col>
      <xdr:colOff>433951</xdr:colOff>
      <xdr:row>7</xdr:row>
      <xdr:rowOff>134472</xdr:rowOff>
    </xdr:from>
    <xdr:to>
      <xdr:col>16</xdr:col>
      <xdr:colOff>25986</xdr:colOff>
      <xdr:row>10</xdr:row>
      <xdr:rowOff>47303</xdr:rowOff>
    </xdr:to>
    <xdr:pic>
      <xdr:nvPicPr>
        <xdr:cNvPr id="7" name="Picture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7387201" y="1839447"/>
          <a:ext cx="2005695" cy="511175"/>
        </a:xfrm>
        <a:prstGeom prst="rect">
          <a:avLst/>
        </a:prstGeom>
      </xdr:spPr>
    </xdr:pic>
    <xdr:clientData/>
  </xdr:twoCellAnchor>
  <xdr:twoCellAnchor editAs="oneCell">
    <xdr:from>
      <xdr:col>14</xdr:col>
      <xdr:colOff>475369</xdr:colOff>
      <xdr:row>11</xdr:row>
      <xdr:rowOff>133740</xdr:rowOff>
    </xdr:from>
    <xdr:to>
      <xdr:col>16</xdr:col>
      <xdr:colOff>30209</xdr:colOff>
      <xdr:row>13</xdr:row>
      <xdr:rowOff>133180</xdr:rowOff>
    </xdr:to>
    <xdr:pic>
      <xdr:nvPicPr>
        <xdr:cNvPr id="8" name="Picture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0114669" y="2724540"/>
          <a:ext cx="774040" cy="380440"/>
        </a:xfrm>
        <a:prstGeom prst="rect">
          <a:avLst/>
        </a:prstGeom>
      </xdr:spPr>
    </xdr:pic>
    <xdr:clientData/>
  </xdr:twoCellAnchor>
  <xdr:twoCellAnchor editAs="oneCell">
    <xdr:from>
      <xdr:col>12</xdr:col>
      <xdr:colOff>342906</xdr:colOff>
      <xdr:row>11</xdr:row>
      <xdr:rowOff>129598</xdr:rowOff>
    </xdr:from>
    <xdr:to>
      <xdr:col>14</xdr:col>
      <xdr:colOff>467918</xdr:colOff>
      <xdr:row>13</xdr:row>
      <xdr:rowOff>139958</xdr:rowOff>
    </xdr:to>
    <xdr:pic>
      <xdr:nvPicPr>
        <xdr:cNvPr id="9" name="Picture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8763006" y="2720398"/>
          <a:ext cx="1344212" cy="391360"/>
        </a:xfrm>
        <a:prstGeom prst="rect">
          <a:avLst/>
        </a:prstGeom>
      </xdr:spPr>
    </xdr:pic>
    <xdr:clientData/>
  </xdr:twoCellAnchor>
  <xdr:twoCellAnchor editAs="oneCell">
    <xdr:from>
      <xdr:col>10</xdr:col>
      <xdr:colOff>354476</xdr:colOff>
      <xdr:row>39</xdr:row>
      <xdr:rowOff>918878</xdr:rowOff>
    </xdr:from>
    <xdr:to>
      <xdr:col>14</xdr:col>
      <xdr:colOff>558462</xdr:colOff>
      <xdr:row>42</xdr:row>
      <xdr:rowOff>148995</xdr:rowOff>
    </xdr:to>
    <xdr:pic>
      <xdr:nvPicPr>
        <xdr:cNvPr id="10" name="Picture 9">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bwMode="auto">
        <a:xfrm>
          <a:off x="7537447" y="14063378"/>
          <a:ext cx="2624456" cy="74291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9</xdr:col>
      <xdr:colOff>57149</xdr:colOff>
      <xdr:row>20</xdr:row>
      <xdr:rowOff>82674</xdr:rowOff>
    </xdr:from>
    <xdr:to>
      <xdr:col>16</xdr:col>
      <xdr:colOff>89647</xdr:colOff>
      <xdr:row>30</xdr:row>
      <xdr:rowOff>448236</xdr:rowOff>
    </xdr:to>
    <xdr:pic>
      <xdr:nvPicPr>
        <xdr:cNvPr id="11" name="Picture 10">
          <a:extLst>
            <a:ext uri="{FF2B5EF4-FFF2-40B4-BE49-F238E27FC236}">
              <a16:creationId xmlns:a16="http://schemas.microsoft.com/office/drawing/2014/main" id="{00000000-0008-0000-0100-00000B000000}"/>
            </a:ext>
          </a:extLst>
        </xdr:cNvPr>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l="1751" t="2626" b="2535"/>
        <a:stretch/>
      </xdr:blipFill>
      <xdr:spPr bwMode="auto">
        <a:xfrm>
          <a:off x="6635002" y="4508998"/>
          <a:ext cx="4268321" cy="4343650"/>
        </a:xfrm>
        <a:prstGeom prst="rect">
          <a:avLst/>
        </a:prstGeom>
        <a:ln>
          <a:noFill/>
        </a:ln>
        <a:extLst>
          <a:ext uri="{53640926-AAD7-44D8-BBD7-CCE9431645EC}">
            <a14:shadowObscured xmlns:a14="http://schemas.microsoft.com/office/drawing/2010/main"/>
          </a:ext>
        </a:extLst>
      </xdr:spPr>
    </xdr:pic>
    <xdr:clientData/>
  </xdr:twoCellAnchor>
  <mc:AlternateContent xmlns:mc="http://schemas.openxmlformats.org/markup-compatibility/2006">
    <mc:Choice xmlns:a14="http://schemas.microsoft.com/office/drawing/2010/main" Requires="a14">
      <xdr:twoCellAnchor editAs="oneCell">
        <xdr:from>
          <xdr:col>4</xdr:col>
          <xdr:colOff>57150</xdr:colOff>
          <xdr:row>15</xdr:row>
          <xdr:rowOff>9525</xdr:rowOff>
        </xdr:from>
        <xdr:to>
          <xdr:col>5</xdr:col>
          <xdr:colOff>381000</xdr:colOff>
          <xdr:row>17</xdr:row>
          <xdr:rowOff>9525</xdr:rowOff>
        </xdr:to>
        <xdr:sp macro="" textlink="">
          <xdr:nvSpPr>
            <xdr:cNvPr id="2049" name="CommandButton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428625</xdr:colOff>
          <xdr:row>15</xdr:row>
          <xdr:rowOff>9525</xdr:rowOff>
        </xdr:from>
        <xdr:to>
          <xdr:col>7</xdr:col>
          <xdr:colOff>9525</xdr:colOff>
          <xdr:row>17</xdr:row>
          <xdr:rowOff>9525</xdr:rowOff>
        </xdr:to>
        <xdr:sp macro="" textlink="">
          <xdr:nvSpPr>
            <xdr:cNvPr id="2051" name="CommandButton2"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9</xdr:col>
      <xdr:colOff>285750</xdr:colOff>
      <xdr:row>25</xdr:row>
      <xdr:rowOff>345649</xdr:rowOff>
    </xdr:from>
    <xdr:to>
      <xdr:col>15</xdr:col>
      <xdr:colOff>582244</xdr:colOff>
      <xdr:row>32</xdr:row>
      <xdr:rowOff>295275</xdr:rowOff>
    </xdr:to>
    <xdr:pic>
      <xdr:nvPicPr>
        <xdr:cNvPr id="2" name="Picture 1" descr="Shape&#10;&#10;Description automatically generated">
          <a:extLst>
            <a:ext uri="{FF2B5EF4-FFF2-40B4-BE49-F238E27FC236}">
              <a16:creationId xmlns:a16="http://schemas.microsoft.com/office/drawing/2014/main" id="{00000000-0008-0000-02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211" r="21800" b="6111"/>
        <a:stretch/>
      </xdr:blipFill>
      <xdr:spPr bwMode="auto">
        <a:xfrm>
          <a:off x="6705600" y="8908624"/>
          <a:ext cx="3954094" cy="3550076"/>
        </a:xfrm>
        <a:prstGeom prst="rect">
          <a:avLst/>
        </a:prstGeom>
        <a:ln w="3175" cap="flat" cmpd="sng" algn="ctr">
          <a:solidFill>
            <a:sysClr val="windowText" lastClr="000000"/>
          </a:solidFill>
          <a:prstDash val="solid"/>
          <a:round/>
          <a:headEnd type="none" w="med" len="med"/>
          <a:tailEnd type="none" w="med" len="med"/>
          <a:extLst>
            <a:ext uri="{C807C97D-BFC1-408E-A445-0C87EB9F89A2}">
              <ask:lineSketchStyleProps xmln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ask="http://schemas.microsoft.com/office/drawing/2018/sketchyshapes" xmlns:lc="http://schemas.openxmlformats.org/drawingml/2006/lockedCanvas" sd="0">
                <a:custGeom>
                  <a:avLst/>
                  <a:gdLst/>
                  <a:ahLst/>
                  <a:cxnLst/>
                  <a:rect l="0" t="0" r="0" b="0"/>
                  <a:pathLst/>
                </a:custGeom>
                <ask:type/>
              </ask:lineSketchStyleProps>
            </a:ext>
          </a:extLst>
        </a:ln>
        <a:extLst>
          <a:ext uri="{53640926-AAD7-44D8-BBD7-CCE9431645EC}">
            <a14:shadowObscured xmlns:a14="http://schemas.microsoft.com/office/drawing/2010/main"/>
          </a:ext>
        </a:extLst>
      </xdr:spPr>
    </xdr:pic>
    <xdr:clientData/>
  </xdr:twoCellAnchor>
  <xdr:twoCellAnchor editAs="oneCell">
    <xdr:from>
      <xdr:col>8</xdr:col>
      <xdr:colOff>268344</xdr:colOff>
      <xdr:row>7</xdr:row>
      <xdr:rowOff>87699</xdr:rowOff>
    </xdr:from>
    <xdr:to>
      <xdr:col>9</xdr:col>
      <xdr:colOff>404313</xdr:colOff>
      <xdr:row>10</xdr:row>
      <xdr:rowOff>73305</xdr:rowOff>
    </xdr:to>
    <xdr:pic>
      <xdr:nvPicPr>
        <xdr:cNvPr id="3" name="Picture 2" descr="C:\Users\najafi\Pictures\DelDOT.jpg">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69019" y="1792674"/>
          <a:ext cx="564934" cy="568577"/>
        </a:xfrm>
        <a:prstGeom prst="rect">
          <a:avLst/>
        </a:prstGeom>
        <a:noFill/>
        <a:ln>
          <a:noFill/>
        </a:ln>
      </xdr:spPr>
    </xdr:pic>
    <xdr:clientData/>
  </xdr:twoCellAnchor>
  <xdr:twoCellAnchor editAs="oneCell">
    <xdr:from>
      <xdr:col>9</xdr:col>
      <xdr:colOff>565277</xdr:colOff>
      <xdr:row>7</xdr:row>
      <xdr:rowOff>87699</xdr:rowOff>
    </xdr:from>
    <xdr:to>
      <xdr:col>11</xdr:col>
      <xdr:colOff>89258</xdr:colOff>
      <xdr:row>10</xdr:row>
      <xdr:rowOff>106436</xdr:rowOff>
    </xdr:to>
    <xdr:pic>
      <xdr:nvPicPr>
        <xdr:cNvPr id="4" name="Picture 3">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21810" t="10687" r="20938" b="11450"/>
        <a:stretch/>
      </xdr:blipFill>
      <xdr:spPr>
        <a:xfrm>
          <a:off x="6346952" y="1792674"/>
          <a:ext cx="773182" cy="601708"/>
        </a:xfrm>
        <a:prstGeom prst="rect">
          <a:avLst/>
        </a:prstGeom>
      </xdr:spPr>
    </xdr:pic>
    <xdr:clientData/>
  </xdr:twoCellAnchor>
  <xdr:twoCellAnchor editAs="oneCell">
    <xdr:from>
      <xdr:col>8</xdr:col>
      <xdr:colOff>201124</xdr:colOff>
      <xdr:row>11</xdr:row>
      <xdr:rowOff>106020</xdr:rowOff>
    </xdr:from>
    <xdr:to>
      <xdr:col>10</xdr:col>
      <xdr:colOff>581155</xdr:colOff>
      <xdr:row>13</xdr:row>
      <xdr:rowOff>93320</xdr:rowOff>
    </xdr:to>
    <xdr:pic>
      <xdr:nvPicPr>
        <xdr:cNvPr id="5" name="Picture 4">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125674" y="2668245"/>
          <a:ext cx="1424323" cy="368300"/>
        </a:xfrm>
        <a:prstGeom prst="rect">
          <a:avLst/>
        </a:prstGeom>
      </xdr:spPr>
    </xdr:pic>
    <xdr:clientData/>
  </xdr:twoCellAnchor>
  <xdr:twoCellAnchor editAs="oneCell">
    <xdr:from>
      <xdr:col>11</xdr:col>
      <xdr:colOff>202098</xdr:colOff>
      <xdr:row>7</xdr:row>
      <xdr:rowOff>79415</xdr:rowOff>
    </xdr:from>
    <xdr:to>
      <xdr:col>12</xdr:col>
      <xdr:colOff>361032</xdr:colOff>
      <xdr:row>11</xdr:row>
      <xdr:rowOff>73303</xdr:rowOff>
    </xdr:to>
    <xdr:pic>
      <xdr:nvPicPr>
        <xdr:cNvPr id="6" name="Picture 5">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202973" y="1784390"/>
          <a:ext cx="783533" cy="767359"/>
        </a:xfrm>
        <a:prstGeom prst="rect">
          <a:avLst/>
        </a:prstGeom>
      </xdr:spPr>
    </xdr:pic>
    <xdr:clientData/>
  </xdr:twoCellAnchor>
  <xdr:twoCellAnchor editAs="oneCell">
    <xdr:from>
      <xdr:col>12</xdr:col>
      <xdr:colOff>433951</xdr:colOff>
      <xdr:row>7</xdr:row>
      <xdr:rowOff>134472</xdr:rowOff>
    </xdr:from>
    <xdr:to>
      <xdr:col>15</xdr:col>
      <xdr:colOff>561367</xdr:colOff>
      <xdr:row>10</xdr:row>
      <xdr:rowOff>62676</xdr:rowOff>
    </xdr:to>
    <xdr:pic>
      <xdr:nvPicPr>
        <xdr:cNvPr id="7" name="Picture 6">
          <a:extLst>
            <a:ext uri="{FF2B5EF4-FFF2-40B4-BE49-F238E27FC236}">
              <a16:creationId xmlns:a16="http://schemas.microsoft.com/office/drawing/2014/main" id="{00000000-0008-0000-02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044426" y="1839447"/>
          <a:ext cx="2005695" cy="511175"/>
        </a:xfrm>
        <a:prstGeom prst="rect">
          <a:avLst/>
        </a:prstGeom>
      </xdr:spPr>
    </xdr:pic>
    <xdr:clientData/>
  </xdr:twoCellAnchor>
  <xdr:twoCellAnchor editAs="oneCell">
    <xdr:from>
      <xdr:col>14</xdr:col>
      <xdr:colOff>475369</xdr:colOff>
      <xdr:row>11</xdr:row>
      <xdr:rowOff>95640</xdr:rowOff>
    </xdr:from>
    <xdr:to>
      <xdr:col>15</xdr:col>
      <xdr:colOff>600752</xdr:colOff>
      <xdr:row>13</xdr:row>
      <xdr:rowOff>93100</xdr:rowOff>
    </xdr:to>
    <xdr:pic>
      <xdr:nvPicPr>
        <xdr:cNvPr id="8" name="Picture 7">
          <a:extLst>
            <a:ext uri="{FF2B5EF4-FFF2-40B4-BE49-F238E27FC236}">
              <a16:creationId xmlns:a16="http://schemas.microsoft.com/office/drawing/2014/main" id="{00000000-0008-0000-02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9867019" y="2657865"/>
          <a:ext cx="747261" cy="378460"/>
        </a:xfrm>
        <a:prstGeom prst="rect">
          <a:avLst/>
        </a:prstGeom>
      </xdr:spPr>
    </xdr:pic>
    <xdr:clientData/>
  </xdr:twoCellAnchor>
  <xdr:twoCellAnchor editAs="oneCell">
    <xdr:from>
      <xdr:col>12</xdr:col>
      <xdr:colOff>342906</xdr:colOff>
      <xdr:row>11</xdr:row>
      <xdr:rowOff>91498</xdr:rowOff>
    </xdr:from>
    <xdr:to>
      <xdr:col>14</xdr:col>
      <xdr:colOff>425551</xdr:colOff>
      <xdr:row>13</xdr:row>
      <xdr:rowOff>96167</xdr:rowOff>
    </xdr:to>
    <xdr:pic>
      <xdr:nvPicPr>
        <xdr:cNvPr id="9" name="Picture 8">
          <a:extLst>
            <a:ext uri="{FF2B5EF4-FFF2-40B4-BE49-F238E27FC236}">
              <a16:creationId xmlns:a16="http://schemas.microsoft.com/office/drawing/2014/main" id="{00000000-0008-0000-02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8515356" y="2653723"/>
          <a:ext cx="1317436" cy="385669"/>
        </a:xfrm>
        <a:prstGeom prst="rect">
          <a:avLst/>
        </a:prstGeom>
      </xdr:spPr>
    </xdr:pic>
    <xdr:clientData/>
  </xdr:twoCellAnchor>
  <xdr:twoCellAnchor editAs="oneCell">
    <xdr:from>
      <xdr:col>10</xdr:col>
      <xdr:colOff>262488</xdr:colOff>
      <xdr:row>33</xdr:row>
      <xdr:rowOff>413814</xdr:rowOff>
    </xdr:from>
    <xdr:to>
      <xdr:col>14</xdr:col>
      <xdr:colOff>381736</xdr:colOff>
      <xdr:row>37</xdr:row>
      <xdr:rowOff>115998</xdr:rowOff>
    </xdr:to>
    <xdr:pic>
      <xdr:nvPicPr>
        <xdr:cNvPr id="10" name="Picture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bwMode="auto">
        <a:xfrm>
          <a:off x="7229345" y="12238421"/>
          <a:ext cx="2599715" cy="84518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9</xdr:col>
      <xdr:colOff>57149</xdr:colOff>
      <xdr:row>19</xdr:row>
      <xdr:rowOff>67235</xdr:rowOff>
    </xdr:from>
    <xdr:to>
      <xdr:col>16</xdr:col>
      <xdr:colOff>67235</xdr:colOff>
      <xdr:row>24</xdr:row>
      <xdr:rowOff>145677</xdr:rowOff>
    </xdr:to>
    <xdr:pic>
      <xdr:nvPicPr>
        <xdr:cNvPr id="11" name="Picture 10">
          <a:extLst>
            <a:ext uri="{FF2B5EF4-FFF2-40B4-BE49-F238E27FC236}">
              <a16:creationId xmlns:a16="http://schemas.microsoft.com/office/drawing/2014/main" id="{00000000-0008-0000-0200-00000B000000}"/>
            </a:ext>
          </a:extLst>
        </xdr:cNvPr>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l="1751" t="2626" b="2535"/>
        <a:stretch/>
      </xdr:blipFill>
      <xdr:spPr bwMode="auto">
        <a:xfrm>
          <a:off x="6455708" y="4191000"/>
          <a:ext cx="4245909" cy="3944471"/>
        </a:xfrm>
        <a:prstGeom prst="rect">
          <a:avLst/>
        </a:prstGeom>
        <a:ln>
          <a:noFill/>
        </a:ln>
        <a:extLst>
          <a:ext uri="{53640926-AAD7-44D8-BBD7-CCE9431645EC}">
            <a14:shadowObscured xmlns:a14="http://schemas.microsoft.com/office/drawing/2010/main"/>
          </a:ext>
        </a:extLst>
      </xdr:spPr>
    </xdr:pic>
    <xdr:clientData/>
  </xdr:twoCellAnchor>
  <mc:AlternateContent xmlns:mc="http://schemas.openxmlformats.org/markup-compatibility/2006">
    <mc:Choice xmlns:a14="http://schemas.microsoft.com/office/drawing/2010/main" Requires="a14">
      <xdr:twoCellAnchor editAs="oneCell">
        <xdr:from>
          <xdr:col>3</xdr:col>
          <xdr:colOff>600075</xdr:colOff>
          <xdr:row>14</xdr:row>
          <xdr:rowOff>180975</xdr:rowOff>
        </xdr:from>
        <xdr:to>
          <xdr:col>5</xdr:col>
          <xdr:colOff>323850</xdr:colOff>
          <xdr:row>17</xdr:row>
          <xdr:rowOff>9525</xdr:rowOff>
        </xdr:to>
        <xdr:sp macro="" textlink="">
          <xdr:nvSpPr>
            <xdr:cNvPr id="3073" name="CommandButton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361950</xdr:colOff>
          <xdr:row>15</xdr:row>
          <xdr:rowOff>0</xdr:rowOff>
        </xdr:from>
        <xdr:to>
          <xdr:col>6</xdr:col>
          <xdr:colOff>1304925</xdr:colOff>
          <xdr:row>17</xdr:row>
          <xdr:rowOff>19050</xdr:rowOff>
        </xdr:to>
        <xdr:sp macro="" textlink="">
          <xdr:nvSpPr>
            <xdr:cNvPr id="3074" name="CommandButton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9</xdr:col>
      <xdr:colOff>246529</xdr:colOff>
      <xdr:row>30</xdr:row>
      <xdr:rowOff>1228725</xdr:rowOff>
    </xdr:from>
    <xdr:to>
      <xdr:col>16</xdr:col>
      <xdr:colOff>28574</xdr:colOff>
      <xdr:row>37</xdr:row>
      <xdr:rowOff>1057275</xdr:rowOff>
    </xdr:to>
    <xdr:pic>
      <xdr:nvPicPr>
        <xdr:cNvPr id="2" name="Picture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6723529" y="10029825"/>
          <a:ext cx="4049245" cy="3752850"/>
        </a:xfrm>
        <a:prstGeom prst="rect">
          <a:avLst/>
        </a:prstGeom>
        <a:ln w="3175" cap="flat" cmpd="sng" algn="ctr">
          <a:solidFill>
            <a:sysClr val="windowText" lastClr="000000"/>
          </a:solidFill>
          <a:prstDash val="solid"/>
          <a:round/>
          <a:headEnd type="none" w="med" len="med"/>
          <a:tailEnd type="none" w="med" len="med"/>
          <a:extLst>
            <a:ext uri="{C807C97D-BFC1-408E-A445-0C87EB9F89A2}">
              <ask:lineSketchStyleProps xmln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ask="http://schemas.microsoft.com/office/drawing/2018/sketchyshapes" xmlns:lc="http://schemas.openxmlformats.org/drawingml/2006/lockedCanvas" sd="0">
                <a:custGeom>
                  <a:avLst/>
                  <a:gdLst/>
                  <a:ahLst/>
                  <a:cxnLst/>
                  <a:rect l="0" t="0" r="0" b="0"/>
                  <a:pathLst/>
                </a:custGeom>
                <ask:type/>
              </ask:lineSketchStyleProps>
            </a:ext>
          </a:extLst>
        </a:ln>
        <a:extLst>
          <a:ext uri="{53640926-AAD7-44D8-BBD7-CCE9431645EC}">
            <a14:shadowObscured xmlns:a14="http://schemas.microsoft.com/office/drawing/2010/main"/>
          </a:ext>
        </a:extLst>
      </xdr:spPr>
    </xdr:pic>
    <xdr:clientData/>
  </xdr:twoCellAnchor>
  <xdr:twoCellAnchor editAs="oneCell">
    <xdr:from>
      <xdr:col>8</xdr:col>
      <xdr:colOff>254737</xdr:colOff>
      <xdr:row>7</xdr:row>
      <xdr:rowOff>87699</xdr:rowOff>
    </xdr:from>
    <xdr:to>
      <xdr:col>9</xdr:col>
      <xdr:colOff>267221</xdr:colOff>
      <xdr:row>10</xdr:row>
      <xdr:rowOff>57933</xdr:rowOff>
    </xdr:to>
    <xdr:pic>
      <xdr:nvPicPr>
        <xdr:cNvPr id="3" name="Picture 2" descr="C:\Users\najafi\Pictures\DelDOT.jpg">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98287" y="1792674"/>
          <a:ext cx="564934" cy="568577"/>
        </a:xfrm>
        <a:prstGeom prst="rect">
          <a:avLst/>
        </a:prstGeom>
        <a:noFill/>
        <a:ln>
          <a:noFill/>
        </a:ln>
      </xdr:spPr>
    </xdr:pic>
    <xdr:clientData/>
  </xdr:twoCellAnchor>
  <xdr:twoCellAnchor editAs="oneCell">
    <xdr:from>
      <xdr:col>9</xdr:col>
      <xdr:colOff>565277</xdr:colOff>
      <xdr:row>7</xdr:row>
      <xdr:rowOff>87699</xdr:rowOff>
    </xdr:from>
    <xdr:to>
      <xdr:col>11</xdr:col>
      <xdr:colOff>131629</xdr:colOff>
      <xdr:row>10</xdr:row>
      <xdr:rowOff>91064</xdr:rowOff>
    </xdr:to>
    <xdr:pic>
      <xdr:nvPicPr>
        <xdr:cNvPr id="4" name="Picture 3">
          <a:extLst>
            <a:ext uri="{FF2B5EF4-FFF2-40B4-BE49-F238E27FC236}">
              <a16:creationId xmlns:a16="http://schemas.microsoft.com/office/drawing/2014/main" id="{00000000-0008-0000-0300-000004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21810" t="10687" r="20938" b="11450"/>
        <a:stretch/>
      </xdr:blipFill>
      <xdr:spPr>
        <a:xfrm>
          <a:off x="6489827" y="1792674"/>
          <a:ext cx="785553" cy="601708"/>
        </a:xfrm>
        <a:prstGeom prst="rect">
          <a:avLst/>
        </a:prstGeom>
      </xdr:spPr>
    </xdr:pic>
    <xdr:clientData/>
  </xdr:twoCellAnchor>
  <xdr:twoCellAnchor editAs="oneCell">
    <xdr:from>
      <xdr:col>8</xdr:col>
      <xdr:colOff>186718</xdr:colOff>
      <xdr:row>11</xdr:row>
      <xdr:rowOff>144120</xdr:rowOff>
    </xdr:from>
    <xdr:to>
      <xdr:col>10</xdr:col>
      <xdr:colOff>474527</xdr:colOff>
      <xdr:row>13</xdr:row>
      <xdr:rowOff>133400</xdr:rowOff>
    </xdr:to>
    <xdr:pic>
      <xdr:nvPicPr>
        <xdr:cNvPr id="5" name="Picture 4">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111268" y="3144495"/>
          <a:ext cx="1449859" cy="370280"/>
        </a:xfrm>
        <a:prstGeom prst="rect">
          <a:avLst/>
        </a:prstGeom>
      </xdr:spPr>
    </xdr:pic>
    <xdr:clientData/>
  </xdr:twoCellAnchor>
  <xdr:twoCellAnchor editAs="oneCell">
    <xdr:from>
      <xdr:col>11</xdr:col>
      <xdr:colOff>202098</xdr:colOff>
      <xdr:row>7</xdr:row>
      <xdr:rowOff>79415</xdr:rowOff>
    </xdr:from>
    <xdr:to>
      <xdr:col>12</xdr:col>
      <xdr:colOff>382216</xdr:colOff>
      <xdr:row>11</xdr:row>
      <xdr:rowOff>57931</xdr:rowOff>
    </xdr:to>
    <xdr:pic>
      <xdr:nvPicPr>
        <xdr:cNvPr id="6" name="Picture 5">
          <a:extLst>
            <a:ext uri="{FF2B5EF4-FFF2-40B4-BE49-F238E27FC236}">
              <a16:creationId xmlns:a16="http://schemas.microsoft.com/office/drawing/2014/main" id="{00000000-0008-0000-03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345848" y="1784390"/>
          <a:ext cx="789717" cy="767359"/>
        </a:xfrm>
        <a:prstGeom prst="rect">
          <a:avLst/>
        </a:prstGeom>
      </xdr:spPr>
    </xdr:pic>
    <xdr:clientData/>
  </xdr:twoCellAnchor>
  <xdr:twoCellAnchor editAs="oneCell">
    <xdr:from>
      <xdr:col>12</xdr:col>
      <xdr:colOff>433951</xdr:colOff>
      <xdr:row>7</xdr:row>
      <xdr:rowOff>134472</xdr:rowOff>
    </xdr:from>
    <xdr:to>
      <xdr:col>16</xdr:col>
      <xdr:colOff>25985</xdr:colOff>
      <xdr:row>10</xdr:row>
      <xdr:rowOff>47304</xdr:rowOff>
    </xdr:to>
    <xdr:pic>
      <xdr:nvPicPr>
        <xdr:cNvPr id="7" name="Picture 6">
          <a:extLst>
            <a:ext uri="{FF2B5EF4-FFF2-40B4-BE49-F238E27FC236}">
              <a16:creationId xmlns:a16="http://schemas.microsoft.com/office/drawing/2014/main" id="{00000000-0008-0000-03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187301" y="1839447"/>
          <a:ext cx="2030435" cy="511175"/>
        </a:xfrm>
        <a:prstGeom prst="rect">
          <a:avLst/>
        </a:prstGeom>
      </xdr:spPr>
    </xdr:pic>
    <xdr:clientData/>
  </xdr:twoCellAnchor>
  <xdr:twoCellAnchor editAs="oneCell">
    <xdr:from>
      <xdr:col>14</xdr:col>
      <xdr:colOff>475369</xdr:colOff>
      <xdr:row>11</xdr:row>
      <xdr:rowOff>133740</xdr:rowOff>
    </xdr:from>
    <xdr:to>
      <xdr:col>16</xdr:col>
      <xdr:colOff>30208</xdr:colOff>
      <xdr:row>13</xdr:row>
      <xdr:rowOff>133180</xdr:rowOff>
    </xdr:to>
    <xdr:pic>
      <xdr:nvPicPr>
        <xdr:cNvPr id="8" name="Picture 7">
          <a:extLst>
            <a:ext uri="{FF2B5EF4-FFF2-40B4-BE49-F238E27FC236}">
              <a16:creationId xmlns:a16="http://schemas.microsoft.com/office/drawing/2014/main" id="{00000000-0008-0000-03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0000369" y="3134115"/>
          <a:ext cx="774039" cy="380440"/>
        </a:xfrm>
        <a:prstGeom prst="rect">
          <a:avLst/>
        </a:prstGeom>
      </xdr:spPr>
    </xdr:pic>
    <xdr:clientData/>
  </xdr:twoCellAnchor>
  <xdr:twoCellAnchor editAs="oneCell">
    <xdr:from>
      <xdr:col>12</xdr:col>
      <xdr:colOff>342906</xdr:colOff>
      <xdr:row>11</xdr:row>
      <xdr:rowOff>129598</xdr:rowOff>
    </xdr:from>
    <xdr:to>
      <xdr:col>14</xdr:col>
      <xdr:colOff>467918</xdr:colOff>
      <xdr:row>13</xdr:row>
      <xdr:rowOff>139958</xdr:rowOff>
    </xdr:to>
    <xdr:pic>
      <xdr:nvPicPr>
        <xdr:cNvPr id="9" name="Picture 8">
          <a:extLst>
            <a:ext uri="{FF2B5EF4-FFF2-40B4-BE49-F238E27FC236}">
              <a16:creationId xmlns:a16="http://schemas.microsoft.com/office/drawing/2014/main" id="{00000000-0008-0000-03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8648706" y="3129973"/>
          <a:ext cx="1344212" cy="391360"/>
        </a:xfrm>
        <a:prstGeom prst="rect">
          <a:avLst/>
        </a:prstGeom>
      </xdr:spPr>
    </xdr:pic>
    <xdr:clientData/>
  </xdr:twoCellAnchor>
  <xdr:twoCellAnchor editAs="oneCell">
    <xdr:from>
      <xdr:col>10</xdr:col>
      <xdr:colOff>201364</xdr:colOff>
      <xdr:row>52</xdr:row>
      <xdr:rowOff>71363</xdr:rowOff>
    </xdr:from>
    <xdr:to>
      <xdr:col>14</xdr:col>
      <xdr:colOff>405349</xdr:colOff>
      <xdr:row>55</xdr:row>
      <xdr:rowOff>181454</xdr:rowOff>
    </xdr:to>
    <xdr:pic>
      <xdr:nvPicPr>
        <xdr:cNvPr id="10" name="Picture 9">
          <a:extLst>
            <a:ext uri="{FF2B5EF4-FFF2-40B4-BE49-F238E27FC236}">
              <a16:creationId xmlns:a16="http://schemas.microsoft.com/office/drawing/2014/main" id="{00000000-0008-0000-0300-00000A000000}"/>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bwMode="auto">
        <a:xfrm>
          <a:off x="7261070" y="17059481"/>
          <a:ext cx="2624455" cy="73762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9</xdr:col>
      <xdr:colOff>66675</xdr:colOff>
      <xdr:row>18</xdr:row>
      <xdr:rowOff>159685</xdr:rowOff>
    </xdr:from>
    <xdr:to>
      <xdr:col>16</xdr:col>
      <xdr:colOff>100853</xdr:colOff>
      <xdr:row>29</xdr:row>
      <xdr:rowOff>331841</xdr:rowOff>
    </xdr:to>
    <xdr:pic>
      <xdr:nvPicPr>
        <xdr:cNvPr id="11" name="Picture 10">
          <a:extLst>
            <a:ext uri="{FF2B5EF4-FFF2-40B4-BE49-F238E27FC236}">
              <a16:creationId xmlns:a16="http://schemas.microsoft.com/office/drawing/2014/main" id="{00000000-0008-0000-0300-00000B000000}"/>
            </a:ext>
          </a:extLst>
        </xdr:cNvPr>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l="1751" t="2626" b="2535"/>
        <a:stretch/>
      </xdr:blipFill>
      <xdr:spPr bwMode="auto">
        <a:xfrm>
          <a:off x="6543675" y="4579285"/>
          <a:ext cx="4301378" cy="417265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9</xdr:col>
      <xdr:colOff>268942</xdr:colOff>
      <xdr:row>39</xdr:row>
      <xdr:rowOff>709326</xdr:rowOff>
    </xdr:from>
    <xdr:to>
      <xdr:col>15</xdr:col>
      <xdr:colOff>561094</xdr:colOff>
      <xdr:row>49</xdr:row>
      <xdr:rowOff>285750</xdr:rowOff>
    </xdr:to>
    <xdr:pic>
      <xdr:nvPicPr>
        <xdr:cNvPr id="12" name="Image 61">
          <a:extLst>
            <a:ext uri="{FF2B5EF4-FFF2-40B4-BE49-F238E27FC236}">
              <a16:creationId xmlns:a16="http://schemas.microsoft.com/office/drawing/2014/main" id="{00000000-0008-0000-0300-00000C000000}"/>
            </a:ext>
          </a:extLst>
        </xdr:cNvPr>
        <xdr:cNvPicPr/>
      </xdr:nvPicPr>
      <xdr:blipFill>
        <a:blip xmlns:r="http://schemas.openxmlformats.org/officeDocument/2006/relationships" r:embed="rId11" cstate="print">
          <a:lum bright="-20000" contrast="30000"/>
          <a:extLst>
            <a:ext uri="{28A0092B-C50C-407E-A947-70E740481C1C}">
              <a14:useLocalDpi xmlns:a14="http://schemas.microsoft.com/office/drawing/2010/main" val="0"/>
            </a:ext>
          </a:extLst>
        </a:blip>
        <a:srcRect/>
        <a:stretch>
          <a:fillRect/>
        </a:stretch>
      </xdr:blipFill>
      <xdr:spPr bwMode="auto">
        <a:xfrm>
          <a:off x="6745942" y="14825376"/>
          <a:ext cx="3949752" cy="2938749"/>
        </a:xfrm>
        <a:prstGeom prst="rect">
          <a:avLst/>
        </a:prstGeom>
        <a:noFill/>
        <a:ln>
          <a:noFill/>
        </a:ln>
      </xdr:spPr>
    </xdr:pic>
    <xdr:clientData/>
  </xdr:twoCellAnchor>
  <xdr:oneCellAnchor>
    <xdr:from>
      <xdr:col>29</xdr:col>
      <xdr:colOff>73479</xdr:colOff>
      <xdr:row>20</xdr:row>
      <xdr:rowOff>195942</xdr:rowOff>
    </xdr:from>
    <xdr:ext cx="65" cy="172227"/>
    <xdr:sp macro="" textlink="">
      <xdr:nvSpPr>
        <xdr:cNvPr id="14" name="TextBox 13">
          <a:extLst>
            <a:ext uri="{FF2B5EF4-FFF2-40B4-BE49-F238E27FC236}">
              <a16:creationId xmlns:a16="http://schemas.microsoft.com/office/drawing/2014/main" id="{00000000-0008-0000-0300-00000E000000}"/>
            </a:ext>
          </a:extLst>
        </xdr:cNvPr>
        <xdr:cNvSpPr txBox="1"/>
      </xdr:nvSpPr>
      <xdr:spPr>
        <a:xfrm>
          <a:off x="8084004" y="418691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mc:AlternateContent xmlns:mc="http://schemas.openxmlformats.org/markup-compatibility/2006">
    <mc:Choice xmlns:a14="http://schemas.microsoft.com/office/drawing/2010/main" Requires="a14">
      <xdr:twoCellAnchor editAs="oneCell">
        <xdr:from>
          <xdr:col>4</xdr:col>
          <xdr:colOff>9525</xdr:colOff>
          <xdr:row>15</xdr:row>
          <xdr:rowOff>9525</xdr:rowOff>
        </xdr:from>
        <xdr:to>
          <xdr:col>5</xdr:col>
          <xdr:colOff>342900</xdr:colOff>
          <xdr:row>17</xdr:row>
          <xdr:rowOff>9525</xdr:rowOff>
        </xdr:to>
        <xdr:sp macro="" textlink="">
          <xdr:nvSpPr>
            <xdr:cNvPr id="4097" name="CommandButton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371475</xdr:colOff>
          <xdr:row>15</xdr:row>
          <xdr:rowOff>0</xdr:rowOff>
        </xdr:from>
        <xdr:to>
          <xdr:col>7</xdr:col>
          <xdr:colOff>9525</xdr:colOff>
          <xdr:row>17</xdr:row>
          <xdr:rowOff>0</xdr:rowOff>
        </xdr:to>
        <xdr:sp macro="" textlink="">
          <xdr:nvSpPr>
            <xdr:cNvPr id="4098" name="CommandButton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14.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13.emf"/><Relationship Id="rId4" Type="http://schemas.openxmlformats.org/officeDocument/2006/relationships/control" Target="../activeX/activeX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image" Target="../media/image18.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5" Type="http://schemas.openxmlformats.org/officeDocument/2006/relationships/image" Target="../media/image17.emf"/><Relationship Id="rId4" Type="http://schemas.openxmlformats.org/officeDocument/2006/relationships/control" Target="../activeX/activeX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image" Target="../media/image21.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8.xml"/><Relationship Id="rId5" Type="http://schemas.openxmlformats.org/officeDocument/2006/relationships/image" Target="../media/image20.emf"/><Relationship Id="rId4" Type="http://schemas.openxmlformats.org/officeDocument/2006/relationships/control" Target="../activeX/activeX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AK236"/>
  <sheetViews>
    <sheetView showGridLines="0" tabSelected="1" topLeftCell="A18" zoomScaleNormal="100" zoomScaleSheetLayoutView="100" workbookViewId="0">
      <selection activeCell="A22" sqref="A22"/>
    </sheetView>
  </sheetViews>
  <sheetFormatPr defaultRowHeight="14.25" x14ac:dyDescent="0.2"/>
  <cols>
    <col min="1" max="1" width="9.140625" style="4"/>
    <col min="2" max="2" width="3.7109375" style="4" customWidth="1"/>
    <col min="3" max="3" width="11.5703125" style="4" customWidth="1"/>
    <col min="4" max="4" width="9" style="4" customWidth="1"/>
    <col min="5" max="6" width="9.140625" style="4"/>
    <col min="7" max="7" width="19.7109375" style="4" customWidth="1"/>
    <col min="8" max="8" width="17.5703125" style="4" customWidth="1"/>
    <col min="9" max="9" width="9.28515625" style="4" bestFit="1" customWidth="1"/>
    <col min="10" max="16" width="9.140625" style="4"/>
    <col min="17" max="17" width="3.7109375" style="4" customWidth="1"/>
    <col min="18" max="18" width="9.140625" style="4"/>
    <col min="19" max="37" width="9.140625" style="4" hidden="1" customWidth="1"/>
    <col min="38" max="38" width="9.140625" style="4" customWidth="1"/>
    <col min="39" max="16384" width="9.140625" style="4"/>
  </cols>
  <sheetData>
    <row r="1" spans="2:35" ht="15" thickBot="1" x14ac:dyDescent="0.25"/>
    <row r="2" spans="2:35" ht="30" customHeight="1" thickBot="1" x14ac:dyDescent="0.3">
      <c r="B2" s="7"/>
      <c r="C2" s="8"/>
      <c r="D2" s="8"/>
      <c r="E2" s="8"/>
      <c r="F2" s="8"/>
      <c r="G2" s="8"/>
      <c r="H2" s="8"/>
      <c r="I2" s="8"/>
      <c r="J2" s="8"/>
      <c r="K2" s="8"/>
      <c r="L2" s="8"/>
      <c r="M2" s="8"/>
      <c r="N2" s="8"/>
      <c r="O2" s="8"/>
      <c r="P2" s="8"/>
      <c r="Q2" s="9"/>
      <c r="AA2"/>
      <c r="AB2"/>
      <c r="AC2" s="132"/>
      <c r="AD2" s="130"/>
      <c r="AE2" s="130"/>
      <c r="AF2" s="130"/>
      <c r="AG2" s="131"/>
      <c r="AH2" s="3"/>
      <c r="AI2"/>
    </row>
    <row r="3" spans="2:35" ht="21" thickBot="1" x14ac:dyDescent="0.35">
      <c r="B3" s="10"/>
      <c r="C3" s="142" t="s">
        <v>0</v>
      </c>
      <c r="D3" s="143"/>
      <c r="E3" s="143"/>
      <c r="F3" s="143"/>
      <c r="G3" s="143"/>
      <c r="H3" s="143"/>
      <c r="I3" s="143"/>
      <c r="J3" s="143"/>
      <c r="K3" s="143"/>
      <c r="L3" s="143"/>
      <c r="M3" s="143"/>
      <c r="N3" s="143"/>
      <c r="O3" s="143"/>
      <c r="P3" s="144"/>
      <c r="Q3" s="11"/>
      <c r="AA3"/>
      <c r="AB3" s="127" t="s">
        <v>24</v>
      </c>
      <c r="AC3" s="128"/>
      <c r="AD3" s="128"/>
      <c r="AE3" s="128"/>
      <c r="AF3" s="128"/>
      <c r="AG3" s="128"/>
      <c r="AH3" s="128"/>
      <c r="AI3" s="129"/>
    </row>
    <row r="4" spans="2:35" ht="20.100000000000001" customHeight="1" thickBot="1" x14ac:dyDescent="0.3">
      <c r="B4" s="10"/>
      <c r="C4" s="12"/>
      <c r="D4" s="12"/>
      <c r="E4" s="12"/>
      <c r="F4" s="12"/>
      <c r="G4" s="12"/>
      <c r="H4" s="12"/>
      <c r="I4" s="12"/>
      <c r="J4" s="12"/>
      <c r="K4" s="12"/>
      <c r="L4" s="12"/>
      <c r="M4" s="12"/>
      <c r="N4" s="12"/>
      <c r="O4" s="12"/>
      <c r="P4" s="12"/>
      <c r="Q4" s="11"/>
      <c r="AA4"/>
      <c r="AB4" s="24"/>
      <c r="AC4" s="25"/>
      <c r="AD4" s="25"/>
      <c r="AE4" s="25"/>
      <c r="AF4" s="25"/>
      <c r="AG4" s="25"/>
      <c r="AH4" s="26"/>
      <c r="AI4" s="27"/>
    </row>
    <row r="5" spans="2:35" ht="20.100000000000001" customHeight="1" x14ac:dyDescent="0.25">
      <c r="B5" s="10"/>
      <c r="C5" s="145" t="s">
        <v>133</v>
      </c>
      <c r="D5" s="146"/>
      <c r="E5" s="146"/>
      <c r="F5" s="146"/>
      <c r="G5" s="146"/>
      <c r="H5" s="146"/>
      <c r="I5" s="146"/>
      <c r="J5" s="146"/>
      <c r="K5" s="146"/>
      <c r="L5" s="146"/>
      <c r="M5" s="146"/>
      <c r="N5" s="146"/>
      <c r="O5" s="146"/>
      <c r="P5" s="147"/>
      <c r="Q5" s="11"/>
      <c r="AA5"/>
      <c r="AB5" s="31"/>
      <c r="AC5" s="34" t="s">
        <v>3</v>
      </c>
      <c r="AD5" s="28"/>
      <c r="AE5" s="28"/>
      <c r="AF5" s="28"/>
      <c r="AG5" s="28"/>
      <c r="AH5" s="29"/>
      <c r="AI5" s="30"/>
    </row>
    <row r="6" spans="2:35" ht="20.100000000000001" customHeight="1" thickBot="1" x14ac:dyDescent="0.3">
      <c r="B6" s="10"/>
      <c r="C6" s="170" t="s">
        <v>97</v>
      </c>
      <c r="D6" s="171"/>
      <c r="E6" s="171"/>
      <c r="F6" s="171"/>
      <c r="G6" s="171"/>
      <c r="H6" s="171"/>
      <c r="I6" s="171"/>
      <c r="J6" s="171"/>
      <c r="K6" s="171"/>
      <c r="L6" s="171"/>
      <c r="M6" s="171"/>
      <c r="N6" s="171"/>
      <c r="O6" s="171"/>
      <c r="P6" s="172"/>
      <c r="Q6" s="11"/>
      <c r="AA6"/>
      <c r="AB6" s="31"/>
      <c r="AC6" s="28"/>
      <c r="AD6" s="28"/>
      <c r="AE6" s="28"/>
      <c r="AF6" s="28"/>
      <c r="AG6" s="28"/>
      <c r="AH6" s="29"/>
      <c r="AI6" s="30"/>
    </row>
    <row r="7" spans="2:35" ht="15" x14ac:dyDescent="0.25">
      <c r="B7" s="10"/>
      <c r="C7" s="12"/>
      <c r="D7" s="12"/>
      <c r="E7" s="12"/>
      <c r="F7" s="12"/>
      <c r="G7" s="12"/>
      <c r="H7" s="12"/>
      <c r="I7" s="12"/>
      <c r="J7" s="12"/>
      <c r="K7" s="12"/>
      <c r="L7" s="12"/>
      <c r="M7" s="12"/>
      <c r="N7" s="12"/>
      <c r="O7" s="12"/>
      <c r="P7" s="12"/>
      <c r="Q7" s="11"/>
      <c r="AA7"/>
      <c r="AB7" s="31"/>
      <c r="AC7" s="130" t="s">
        <v>4</v>
      </c>
      <c r="AD7" s="130"/>
      <c r="AE7" s="130"/>
      <c r="AF7" s="130"/>
      <c r="AG7" s="131"/>
      <c r="AH7" s="3">
        <f>MAX((1+0.33*((96-'Circular Pipe - Ciment.'!H23)/96)),1)</f>
        <v>1.2475000000000001</v>
      </c>
      <c r="AI7" s="30"/>
    </row>
    <row r="8" spans="2:35" ht="15" x14ac:dyDescent="0.25">
      <c r="B8" s="10"/>
      <c r="C8" s="74" t="s">
        <v>65</v>
      </c>
      <c r="D8" s="173"/>
      <c r="E8" s="173"/>
      <c r="F8" s="173"/>
      <c r="G8" s="174"/>
      <c r="H8" s="12"/>
      <c r="I8" s="12"/>
      <c r="J8" s="12"/>
      <c r="K8" s="12"/>
      <c r="L8" s="12"/>
      <c r="M8" s="12"/>
      <c r="N8" s="12"/>
      <c r="O8" s="12"/>
      <c r="P8" s="12"/>
      <c r="Q8" s="11"/>
      <c r="AA8"/>
      <c r="AB8" s="31"/>
      <c r="AC8" s="132" t="s">
        <v>6</v>
      </c>
      <c r="AD8" s="130"/>
      <c r="AE8" s="130"/>
      <c r="AF8" s="130"/>
      <c r="AG8" s="131"/>
      <c r="AH8" s="3">
        <f>AH62</f>
        <v>37.599999999999994</v>
      </c>
      <c r="AI8" s="30"/>
    </row>
    <row r="9" spans="2:35" ht="15" x14ac:dyDescent="0.25">
      <c r="B9" s="10"/>
      <c r="C9" s="74" t="s">
        <v>138</v>
      </c>
      <c r="D9" s="173"/>
      <c r="E9" s="173"/>
      <c r="F9" s="173"/>
      <c r="G9" s="174"/>
      <c r="H9" s="12"/>
      <c r="I9" s="12"/>
      <c r="J9" s="12"/>
      <c r="K9" s="12"/>
      <c r="L9" s="12"/>
      <c r="M9" s="12"/>
      <c r="N9" s="12"/>
      <c r="O9" s="12"/>
      <c r="P9" s="12"/>
      <c r="Q9" s="11"/>
      <c r="AA9"/>
      <c r="AB9" s="31"/>
      <c r="AC9" s="104"/>
      <c r="AD9" s="105"/>
      <c r="AE9" s="105"/>
      <c r="AF9" s="105"/>
      <c r="AG9" s="106"/>
      <c r="AH9" s="3"/>
      <c r="AI9" s="30"/>
    </row>
    <row r="10" spans="2:35" ht="16.5" x14ac:dyDescent="0.35">
      <c r="B10" s="10"/>
      <c r="C10" s="74" t="s">
        <v>1</v>
      </c>
      <c r="D10" s="173"/>
      <c r="E10" s="173"/>
      <c r="F10" s="173"/>
      <c r="G10" s="174"/>
      <c r="H10" s="12"/>
      <c r="I10" s="12"/>
      <c r="J10" s="12"/>
      <c r="K10" s="12"/>
      <c r="L10" s="12"/>
      <c r="M10" s="12"/>
      <c r="N10" s="12"/>
      <c r="O10" s="12"/>
      <c r="P10" s="12"/>
      <c r="Q10" s="11"/>
      <c r="AA10"/>
      <c r="AB10" s="31"/>
      <c r="AC10" s="132" t="s">
        <v>8</v>
      </c>
      <c r="AD10" s="130"/>
      <c r="AE10" s="130"/>
      <c r="AF10" s="130"/>
      <c r="AG10" s="131"/>
      <c r="AH10" s="3">
        <f>('Circular Pipe - Ciment.'!H27-'Circular Pipe - Ciment.'!H26-0.06*'Circular Pipe - Ciment.'!H29)/'Circular Pipe - Ciment.'!H24</f>
        <v>42.086956521739133</v>
      </c>
      <c r="AI10" s="30"/>
    </row>
    <row r="11" spans="2:35" ht="15" customHeight="1" x14ac:dyDescent="0.25">
      <c r="B11" s="10"/>
      <c r="C11" s="74" t="s">
        <v>93</v>
      </c>
      <c r="D11" s="173" t="s">
        <v>94</v>
      </c>
      <c r="E11" s="173"/>
      <c r="F11" s="173"/>
      <c r="G11" s="174"/>
      <c r="H11" s="12"/>
      <c r="I11" s="12"/>
      <c r="J11" s="12"/>
      <c r="K11" s="12"/>
      <c r="L11" s="12"/>
      <c r="M11" s="12"/>
      <c r="N11" s="12"/>
      <c r="O11" s="12"/>
      <c r="P11" s="12"/>
      <c r="Q11" s="11"/>
      <c r="AA11"/>
      <c r="AB11" s="31"/>
      <c r="AC11" s="132" t="s">
        <v>7</v>
      </c>
      <c r="AD11" s="130"/>
      <c r="AE11" s="130"/>
      <c r="AF11" s="130"/>
      <c r="AG11" s="131"/>
      <c r="AH11" s="3">
        <f>IF('Circular Pipe - Ciment.'!H23&lt;'Circular Pipe - Ciment.'!AH10,'Circular Pipe - Ciment.'!H26+'Circular Pipe - Ciment.'!H24*'Circular Pipe - Ciment.'!H23+0.06*'Circular Pipe - Ciment.'!H29,(('Circular Pipe - Ciment.'!H26+'Circular Pipe - Ciment.'!H27+'Circular Pipe - Ciment.'!H24*'Circular Pipe - Ciment.'!H23)+0.06*'Circular Pipe - Ciment.'!H29))</f>
        <v>51.199999999999996</v>
      </c>
      <c r="AI11" s="30"/>
    </row>
    <row r="12" spans="2:35" ht="15" customHeight="1" x14ac:dyDescent="0.25">
      <c r="B12" s="10"/>
      <c r="C12" s="74" t="s">
        <v>95</v>
      </c>
      <c r="D12" s="173"/>
      <c r="E12" s="173"/>
      <c r="F12" s="173"/>
      <c r="G12" s="174"/>
      <c r="H12" s="12"/>
      <c r="I12" s="12"/>
      <c r="J12" s="12"/>
      <c r="K12" s="12"/>
      <c r="L12" s="12"/>
      <c r="M12" s="12"/>
      <c r="N12" s="12"/>
      <c r="O12" s="12"/>
      <c r="P12" s="12"/>
      <c r="Q12" s="11"/>
      <c r="AA12" s="85">
        <f>IF('Circular Pipe - Ciment.'!H23/12&lt;'Circular Pipe - Ciment.'!H32,'Circular Pipe - Ciment.'!H23/12,'Circular Pipe - Ciment.'!H32)</f>
        <v>2</v>
      </c>
      <c r="AB12" s="31"/>
      <c r="AC12" s="139" t="s">
        <v>12</v>
      </c>
      <c r="AD12" s="140"/>
      <c r="AE12" s="140"/>
      <c r="AF12" s="140"/>
      <c r="AG12" s="141"/>
      <c r="AH12" s="3">
        <f>'Circular Pipe - Ciment.'!H43*('Circular Pipe - Ciment.'!H30*AA12-2*'Circular Pipe - Ciment.'!H31)/144</f>
        <v>0.61789412025085744</v>
      </c>
      <c r="AI12" s="30"/>
    </row>
    <row r="13" spans="2:35" ht="15" x14ac:dyDescent="0.25">
      <c r="B13" s="10"/>
      <c r="C13" s="74" t="s">
        <v>96</v>
      </c>
      <c r="D13" s="173"/>
      <c r="E13" s="173"/>
      <c r="F13" s="173"/>
      <c r="G13" s="174"/>
      <c r="H13" s="12"/>
      <c r="I13" s="12"/>
      <c r="J13" s="12"/>
      <c r="K13" s="12"/>
      <c r="L13" s="12"/>
      <c r="M13" s="12"/>
      <c r="N13" s="12"/>
      <c r="O13" s="12"/>
      <c r="P13" s="12"/>
      <c r="Q13" s="11"/>
      <c r="AA13"/>
      <c r="AB13" s="31"/>
      <c r="AC13" s="139" t="s">
        <v>13</v>
      </c>
      <c r="AD13" s="140"/>
      <c r="AE13" s="140"/>
      <c r="AF13" s="140"/>
      <c r="AG13" s="141"/>
      <c r="AH13" s="3">
        <f>(('Circular Pipe - Ciment.'!H43*AA12-'Circular Pipe - Ciment.'!H34)*'Circular Pipe - Ciment.'!H30+'Circular Pipe - Ciment.'!H34*('Circular Pipe - Ciment.'!H30-62.4))/144</f>
        <v>0.61789412025085744</v>
      </c>
      <c r="AI13" s="30"/>
    </row>
    <row r="14" spans="2:35" ht="18" x14ac:dyDescent="0.35">
      <c r="B14" s="10"/>
      <c r="C14" s="74" t="s">
        <v>2</v>
      </c>
      <c r="D14" s="173"/>
      <c r="E14" s="173"/>
      <c r="F14" s="173"/>
      <c r="G14" s="174"/>
      <c r="H14" s="12"/>
      <c r="I14" s="12"/>
      <c r="J14" s="12"/>
      <c r="K14" s="12"/>
      <c r="L14" s="12"/>
      <c r="M14" s="12"/>
      <c r="N14" s="12"/>
      <c r="O14" s="12"/>
      <c r="P14" s="12"/>
      <c r="Q14" s="11"/>
      <c r="AA14"/>
      <c r="AB14" s="31"/>
      <c r="AC14" s="83" t="s">
        <v>14</v>
      </c>
      <c r="AD14" s="83"/>
      <c r="AE14" s="83"/>
      <c r="AF14" s="83"/>
      <c r="AG14" s="83"/>
      <c r="AH14" s="3">
        <f>0.433*('Circular Pipe - Ciment.'!H34+'Circular Pipe - Ciment.'!H35)</f>
        <v>2.165</v>
      </c>
      <c r="AI14" s="30"/>
    </row>
    <row r="15" spans="2:35" ht="15" x14ac:dyDescent="0.25">
      <c r="B15" s="10"/>
      <c r="C15" s="12"/>
      <c r="D15" s="12"/>
      <c r="E15" s="12"/>
      <c r="F15" s="12"/>
      <c r="G15" s="12"/>
      <c r="H15" s="12"/>
      <c r="I15" s="12"/>
      <c r="J15" s="12"/>
      <c r="K15" s="12"/>
      <c r="L15" s="12"/>
      <c r="M15" s="12"/>
      <c r="N15" s="12"/>
      <c r="O15" s="12"/>
      <c r="P15" s="12"/>
      <c r="Q15" s="11"/>
      <c r="AA15"/>
      <c r="AB15" s="31"/>
      <c r="AC15" s="28"/>
      <c r="AD15" s="28"/>
      <c r="AE15" s="28"/>
      <c r="AF15" s="28"/>
      <c r="AG15" s="28"/>
      <c r="AH15" s="29"/>
      <c r="AI15" s="30"/>
    </row>
    <row r="16" spans="2:35" ht="15" x14ac:dyDescent="0.25">
      <c r="B16" s="10"/>
      <c r="C16" s="103" t="s">
        <v>131</v>
      </c>
      <c r="D16" s="12"/>
      <c r="E16" s="12"/>
      <c r="F16" s="12"/>
      <c r="G16" s="12"/>
      <c r="H16" s="12"/>
      <c r="I16" s="12"/>
      <c r="J16" s="12"/>
      <c r="K16" s="12"/>
      <c r="L16" s="12"/>
      <c r="M16" s="12"/>
      <c r="N16" s="12"/>
      <c r="O16" s="12"/>
      <c r="P16" s="12"/>
      <c r="Q16" s="11"/>
      <c r="AA16"/>
      <c r="AB16" s="31"/>
      <c r="AC16" s="34" t="s">
        <v>18</v>
      </c>
      <c r="AD16" s="28"/>
      <c r="AE16" s="28"/>
      <c r="AF16" s="28"/>
      <c r="AG16" s="28"/>
      <c r="AH16" s="29"/>
      <c r="AI16" s="30"/>
    </row>
    <row r="17" spans="2:35" ht="15" x14ac:dyDescent="0.25">
      <c r="B17" s="10"/>
      <c r="C17" s="1" t="s">
        <v>132</v>
      </c>
      <c r="D17" s="12"/>
      <c r="E17" s="12"/>
      <c r="F17" s="12"/>
      <c r="G17" s="12"/>
      <c r="H17" s="12"/>
      <c r="I17" s="12"/>
      <c r="J17" s="12"/>
      <c r="K17" s="12"/>
      <c r="L17" s="12"/>
      <c r="M17" s="12"/>
      <c r="N17" s="12"/>
      <c r="O17" s="12"/>
      <c r="P17" s="12"/>
      <c r="Q17" s="11"/>
      <c r="AA17"/>
      <c r="AB17" s="31"/>
      <c r="AC17" s="28"/>
      <c r="AD17" s="28"/>
      <c r="AE17" s="28"/>
      <c r="AF17" s="28"/>
      <c r="AG17" s="28"/>
      <c r="AH17" s="29"/>
      <c r="AI17" s="30"/>
    </row>
    <row r="18" spans="2:35" ht="15" x14ac:dyDescent="0.25">
      <c r="B18" s="10"/>
      <c r="C18" s="12"/>
      <c r="D18" s="12"/>
      <c r="E18" s="12"/>
      <c r="F18" s="12"/>
      <c r="G18" s="12"/>
      <c r="H18" s="12"/>
      <c r="I18" s="12"/>
      <c r="J18" s="12"/>
      <c r="K18" s="12"/>
      <c r="L18" s="12"/>
      <c r="M18" s="12"/>
      <c r="N18" s="12"/>
      <c r="O18" s="12"/>
      <c r="P18" s="12"/>
      <c r="Q18" s="11"/>
      <c r="AA18"/>
      <c r="AB18" s="31"/>
      <c r="AC18" s="134" t="s">
        <v>19</v>
      </c>
      <c r="AD18" s="135"/>
      <c r="AE18" s="135"/>
      <c r="AF18" s="135"/>
      <c r="AG18" s="136"/>
      <c r="AH18" s="3">
        <f>IF('Circular Pipe - Ciment.'!H34=0,'Circular Pipe - Ciment.'!AH12,'Circular Pipe - Ciment.'!AH13)</f>
        <v>0.61789412025085744</v>
      </c>
      <c r="AI18" s="30"/>
    </row>
    <row r="19" spans="2:35" ht="15" x14ac:dyDescent="0.25">
      <c r="B19" s="10"/>
      <c r="C19" s="14" t="s">
        <v>3</v>
      </c>
      <c r="D19" s="12"/>
      <c r="E19" s="12"/>
      <c r="F19" s="12"/>
      <c r="G19" s="12"/>
      <c r="H19" s="12"/>
      <c r="I19" s="12"/>
      <c r="J19" s="12"/>
      <c r="K19" s="12"/>
      <c r="L19" s="12"/>
      <c r="M19" s="12"/>
      <c r="N19" s="12"/>
      <c r="O19" s="12"/>
      <c r="P19" s="12"/>
      <c r="Q19" s="11"/>
      <c r="AA19"/>
      <c r="AB19" s="31"/>
      <c r="AC19" s="137" t="s">
        <v>20</v>
      </c>
      <c r="AD19" s="137"/>
      <c r="AE19" s="137"/>
      <c r="AF19" s="137"/>
      <c r="AG19" s="138"/>
      <c r="AH19" s="3">
        <f>MIN(AH8/'Circular Pipe - Ciment.'!H70,1)</f>
        <v>0.62666666666666659</v>
      </c>
      <c r="AI19" s="30"/>
    </row>
    <row r="20" spans="2:35" ht="15" x14ac:dyDescent="0.25">
      <c r="B20" s="10"/>
      <c r="C20" s="12"/>
      <c r="D20" s="12"/>
      <c r="E20" s="12"/>
      <c r="F20" s="12"/>
      <c r="G20" s="12"/>
      <c r="H20" s="12"/>
      <c r="I20" s="12"/>
      <c r="J20" s="12"/>
      <c r="K20" s="12"/>
      <c r="L20" s="12"/>
      <c r="M20" s="12"/>
      <c r="N20" s="12"/>
      <c r="O20" s="12"/>
      <c r="P20" s="12"/>
      <c r="Q20" s="11"/>
      <c r="AA20"/>
      <c r="AB20" s="31"/>
      <c r="AC20" s="137" t="s">
        <v>14</v>
      </c>
      <c r="AD20" s="137"/>
      <c r="AE20" s="137"/>
      <c r="AF20" s="137"/>
      <c r="AG20" s="138"/>
      <c r="AH20" s="3">
        <f>IF('Circular Pipe - Ciment.'!H34=0,0,'Circular Pipe - Ciment.'!AH14)</f>
        <v>0</v>
      </c>
      <c r="AI20" s="30"/>
    </row>
    <row r="21" spans="2:35" ht="45" customHeight="1" x14ac:dyDescent="0.25">
      <c r="B21" s="10"/>
      <c r="C21" s="162" t="s">
        <v>153</v>
      </c>
      <c r="D21" s="163"/>
      <c r="E21" s="163"/>
      <c r="F21" s="163"/>
      <c r="G21" s="164"/>
      <c r="H21" s="6">
        <v>1.2</v>
      </c>
      <c r="I21" s="76"/>
      <c r="J21" s="12"/>
      <c r="K21" s="12"/>
      <c r="L21" s="12"/>
      <c r="M21" s="12"/>
      <c r="N21" s="12"/>
      <c r="O21" s="12"/>
      <c r="P21" s="12"/>
      <c r="Q21" s="11"/>
      <c r="AA21"/>
      <c r="AB21" s="31"/>
      <c r="AC21" s="38"/>
      <c r="AD21" s="38"/>
      <c r="AE21" s="38"/>
      <c r="AF21" s="38"/>
      <c r="AG21" s="38"/>
      <c r="AH21" s="2"/>
      <c r="AI21" s="30"/>
    </row>
    <row r="22" spans="2:35" ht="110.1" customHeight="1" x14ac:dyDescent="0.25">
      <c r="B22" s="10"/>
      <c r="C22" s="162" t="s">
        <v>154</v>
      </c>
      <c r="D22" s="163"/>
      <c r="E22" s="163"/>
      <c r="F22" s="163"/>
      <c r="G22" s="164"/>
      <c r="H22" s="6">
        <v>16000</v>
      </c>
      <c r="I22" s="102" t="s">
        <v>98</v>
      </c>
      <c r="J22" s="12"/>
      <c r="K22" s="12"/>
      <c r="L22" s="12"/>
      <c r="M22" s="12"/>
      <c r="N22" s="12"/>
      <c r="O22" s="12"/>
      <c r="P22" s="12"/>
      <c r="Q22" s="11"/>
      <c r="AA22"/>
      <c r="AB22" s="31"/>
      <c r="AC22" s="38"/>
      <c r="AD22" s="38"/>
      <c r="AE22" s="41"/>
      <c r="AF22" s="38"/>
      <c r="AG22" s="38"/>
      <c r="AH22" s="2"/>
      <c r="AI22" s="30"/>
    </row>
    <row r="23" spans="2:35" ht="30" customHeight="1" x14ac:dyDescent="0.25">
      <c r="B23" s="10"/>
      <c r="C23" s="162" t="s">
        <v>180</v>
      </c>
      <c r="D23" s="163"/>
      <c r="E23" s="163"/>
      <c r="F23" s="163"/>
      <c r="G23" s="164"/>
      <c r="H23" s="6">
        <v>24</v>
      </c>
      <c r="I23" s="102" t="s">
        <v>119</v>
      </c>
      <c r="J23" s="12"/>
      <c r="K23" s="12"/>
      <c r="L23" s="12"/>
      <c r="M23" s="12"/>
      <c r="N23" s="12"/>
      <c r="O23" s="12"/>
      <c r="P23" s="12"/>
      <c r="Q23" s="11"/>
      <c r="AA23"/>
      <c r="AB23" s="31"/>
      <c r="AC23" s="39" t="s">
        <v>28</v>
      </c>
      <c r="AD23" s="38"/>
      <c r="AE23" s="38"/>
      <c r="AF23" s="38"/>
      <c r="AG23" s="38">
        <f>IF('Circular Pipe - Ciment.'!H59&lt;='Circular Pipe - Ciment.'!H78,IF('Circular Pipe - Ciment.'!H78&lt;='Circular Pipe - Ciment.'!H60,1,0),0)</f>
        <v>1</v>
      </c>
      <c r="AH23" s="2"/>
      <c r="AI23" s="30"/>
    </row>
    <row r="24" spans="2:35" ht="105" customHeight="1" x14ac:dyDescent="0.25">
      <c r="B24" s="10"/>
      <c r="C24" s="162" t="s">
        <v>155</v>
      </c>
      <c r="D24" s="163"/>
      <c r="E24" s="163"/>
      <c r="F24" s="163"/>
      <c r="G24" s="164"/>
      <c r="H24" s="6">
        <v>1.1499999999999999</v>
      </c>
      <c r="I24" s="77"/>
      <c r="J24" s="12"/>
      <c r="K24" s="12"/>
      <c r="L24" s="12"/>
      <c r="M24" s="66" t="s">
        <v>10</v>
      </c>
      <c r="N24" s="12"/>
      <c r="O24" s="12"/>
      <c r="P24" s="12"/>
      <c r="Q24" s="11"/>
      <c r="AA24"/>
      <c r="AB24" s="31"/>
      <c r="AC24" s="39" t="s">
        <v>26</v>
      </c>
      <c r="AD24" s="38"/>
      <c r="AE24" s="38"/>
      <c r="AF24" s="38"/>
      <c r="AG24" s="38">
        <f>IF('Circular Pipe - Ciment.'!H59&lt;='Circular Pipe - Ciment.'!H85,IF('Circular Pipe - Ciment.'!H85&lt;='Circular Pipe - Ciment.'!H60,1,0),0)</f>
        <v>1</v>
      </c>
      <c r="AH24" s="2"/>
      <c r="AI24" s="30"/>
    </row>
    <row r="25" spans="2:35" ht="45" customHeight="1" thickBot="1" x14ac:dyDescent="0.3">
      <c r="B25" s="10"/>
      <c r="C25" s="162" t="s">
        <v>231</v>
      </c>
      <c r="D25" s="163"/>
      <c r="E25" s="163"/>
      <c r="F25" s="163"/>
      <c r="G25" s="164"/>
      <c r="H25" s="6">
        <v>10</v>
      </c>
      <c r="I25" s="102" t="s">
        <v>119</v>
      </c>
      <c r="J25" s="12"/>
      <c r="K25" s="12"/>
      <c r="L25" s="12"/>
      <c r="M25" s="36"/>
      <c r="N25" s="12"/>
      <c r="O25" s="12"/>
      <c r="P25" s="12"/>
      <c r="Q25" s="11"/>
      <c r="AA25"/>
      <c r="AB25" s="35"/>
      <c r="AC25" s="40"/>
      <c r="AD25" s="40"/>
      <c r="AE25" s="40"/>
      <c r="AF25" s="40"/>
      <c r="AG25" s="40"/>
      <c r="AH25" s="32"/>
      <c r="AI25" s="33"/>
    </row>
    <row r="26" spans="2:35" ht="45" customHeight="1" x14ac:dyDescent="0.25">
      <c r="B26" s="10"/>
      <c r="C26" s="162" t="s">
        <v>232</v>
      </c>
      <c r="D26" s="163"/>
      <c r="E26" s="163"/>
      <c r="F26" s="163"/>
      <c r="G26" s="164"/>
      <c r="H26" s="6">
        <v>20</v>
      </c>
      <c r="I26" s="102" t="s">
        <v>119</v>
      </c>
      <c r="J26" s="12"/>
      <c r="K26" s="12"/>
      <c r="L26" s="12"/>
      <c r="M26" s="12"/>
      <c r="N26" s="12"/>
      <c r="O26" s="12"/>
      <c r="P26" s="12"/>
      <c r="Q26" s="11"/>
      <c r="AA26"/>
      <c r="AB26"/>
      <c r="AC26"/>
      <c r="AD26"/>
      <c r="AE26"/>
      <c r="AF26"/>
      <c r="AG26"/>
      <c r="AH26" s="2"/>
      <c r="AI26"/>
    </row>
    <row r="27" spans="2:35" ht="45" customHeight="1" x14ac:dyDescent="0.25">
      <c r="B27" s="10"/>
      <c r="C27" s="162" t="s">
        <v>182</v>
      </c>
      <c r="D27" s="163"/>
      <c r="E27" s="163"/>
      <c r="F27" s="163"/>
      <c r="G27" s="164"/>
      <c r="H27" s="6">
        <v>72</v>
      </c>
      <c r="I27" s="102" t="s">
        <v>119</v>
      </c>
      <c r="J27" s="12"/>
      <c r="K27" s="12"/>
      <c r="L27" s="12"/>
      <c r="M27" s="12"/>
      <c r="N27" s="12"/>
      <c r="O27" s="12"/>
      <c r="P27" s="12"/>
      <c r="Q27" s="11"/>
      <c r="AA27"/>
      <c r="AB27"/>
      <c r="AC27" t="s">
        <v>86</v>
      </c>
      <c r="AD27"/>
      <c r="AE27"/>
      <c r="AF27"/>
      <c r="AG27"/>
      <c r="AH27" s="2"/>
      <c r="AI27"/>
    </row>
    <row r="28" spans="2:35" ht="45" customHeight="1" x14ac:dyDescent="0.25">
      <c r="B28" s="10"/>
      <c r="C28" s="162" t="s">
        <v>243</v>
      </c>
      <c r="D28" s="163"/>
      <c r="E28" s="163"/>
      <c r="F28" s="163"/>
      <c r="G28" s="164"/>
      <c r="H28" s="6">
        <v>48</v>
      </c>
      <c r="I28" s="102" t="s">
        <v>119</v>
      </c>
      <c r="J28" s="12"/>
      <c r="K28" s="12"/>
      <c r="L28" s="12"/>
      <c r="M28" s="12"/>
      <c r="N28" s="12"/>
      <c r="O28" s="12"/>
      <c r="P28" s="12"/>
      <c r="Q28" s="11"/>
      <c r="AA28"/>
      <c r="AB28"/>
      <c r="AC28" t="s">
        <v>92</v>
      </c>
      <c r="AD28"/>
      <c r="AE28"/>
      <c r="AF28"/>
      <c r="AG28"/>
      <c r="AH28" s="2"/>
      <c r="AI28"/>
    </row>
    <row r="29" spans="2:35" ht="20.100000000000001" customHeight="1" x14ac:dyDescent="0.25">
      <c r="B29" s="10"/>
      <c r="C29" s="159" t="s">
        <v>157</v>
      </c>
      <c r="D29" s="167"/>
      <c r="E29" s="167"/>
      <c r="F29" s="167"/>
      <c r="G29" s="168"/>
      <c r="H29" s="6">
        <v>60</v>
      </c>
      <c r="I29" s="102" t="s">
        <v>119</v>
      </c>
      <c r="J29" s="12"/>
      <c r="K29" s="12"/>
      <c r="L29" s="12"/>
      <c r="M29" s="12"/>
      <c r="N29" s="12"/>
      <c r="O29" s="12"/>
      <c r="P29" s="12"/>
      <c r="Q29" s="11"/>
      <c r="AA29"/>
      <c r="AB29"/>
      <c r="AC29" t="s">
        <v>87</v>
      </c>
      <c r="AD29"/>
      <c r="AE29"/>
      <c r="AF29"/>
      <c r="AG29"/>
      <c r="AH29" s="2"/>
      <c r="AI29"/>
    </row>
    <row r="30" spans="2:35" ht="16.5" x14ac:dyDescent="0.25">
      <c r="B30" s="10"/>
      <c r="C30" s="159" t="s">
        <v>156</v>
      </c>
      <c r="D30" s="167"/>
      <c r="E30" s="167"/>
      <c r="F30" s="167"/>
      <c r="G30" s="168"/>
      <c r="H30" s="6">
        <v>120</v>
      </c>
      <c r="I30" s="102" t="s">
        <v>99</v>
      </c>
      <c r="J30" s="12"/>
      <c r="K30" s="12"/>
      <c r="L30" s="12"/>
      <c r="M30" s="12"/>
      <c r="N30" s="12"/>
      <c r="O30" s="12"/>
      <c r="P30" s="12"/>
      <c r="Q30" s="11"/>
      <c r="AA30"/>
      <c r="AB30"/>
      <c r="AC30" t="s">
        <v>90</v>
      </c>
      <c r="AD30"/>
      <c r="AE30"/>
      <c r="AF30"/>
      <c r="AG30"/>
      <c r="AH30" s="2"/>
      <c r="AI30"/>
    </row>
    <row r="31" spans="2:35" ht="110.1" customHeight="1" x14ac:dyDescent="0.25">
      <c r="B31" s="10"/>
      <c r="C31" s="186" t="s">
        <v>152</v>
      </c>
      <c r="D31" s="187"/>
      <c r="E31" s="187"/>
      <c r="F31" s="187"/>
      <c r="G31" s="188"/>
      <c r="H31" s="6">
        <v>0</v>
      </c>
      <c r="I31" s="102" t="s">
        <v>100</v>
      </c>
      <c r="J31" s="12"/>
      <c r="K31" s="12"/>
      <c r="L31" s="12"/>
      <c r="M31" s="12"/>
      <c r="N31" s="12"/>
      <c r="O31" s="12"/>
      <c r="P31" s="12"/>
      <c r="Q31" s="11"/>
      <c r="AA31"/>
      <c r="AB31"/>
      <c r="AC31" t="s">
        <v>88</v>
      </c>
      <c r="AD31"/>
      <c r="AE31"/>
      <c r="AF31"/>
      <c r="AG31"/>
      <c r="AH31" s="2"/>
      <c r="AI31"/>
    </row>
    <row r="32" spans="2:35" ht="18.75" hidden="1" x14ac:dyDescent="0.25">
      <c r="B32" s="10"/>
      <c r="C32" s="189" t="s">
        <v>139</v>
      </c>
      <c r="D32" s="167"/>
      <c r="E32" s="167"/>
      <c r="F32" s="167"/>
      <c r="G32" s="168"/>
      <c r="H32" s="67">
        <f>H29/12</f>
        <v>5</v>
      </c>
      <c r="I32" s="76" t="s">
        <v>101</v>
      </c>
      <c r="J32" s="12"/>
      <c r="K32" s="12"/>
      <c r="L32" s="12"/>
      <c r="M32" s="12"/>
      <c r="N32" s="12"/>
      <c r="O32" s="12"/>
      <c r="P32" s="12"/>
      <c r="Q32" s="11"/>
      <c r="AA32"/>
      <c r="AB32"/>
      <c r="AC32" t="s">
        <v>89</v>
      </c>
      <c r="AD32"/>
      <c r="AE32"/>
      <c r="AF32"/>
      <c r="AG32"/>
      <c r="AH32" s="2"/>
      <c r="AI32"/>
    </row>
    <row r="33" spans="2:35" ht="82.5" customHeight="1" x14ac:dyDescent="0.25">
      <c r="B33" s="10"/>
      <c r="C33" s="180" t="s">
        <v>158</v>
      </c>
      <c r="D33" s="181"/>
      <c r="E33" s="181"/>
      <c r="F33" s="181"/>
      <c r="G33" s="182"/>
      <c r="H33" s="86">
        <v>0.19239999999999999</v>
      </c>
      <c r="I33" s="76"/>
      <c r="J33" s="12"/>
      <c r="K33" s="12"/>
      <c r="L33" s="12"/>
      <c r="M33" s="36" t="s">
        <v>15</v>
      </c>
      <c r="N33" s="12"/>
      <c r="O33" s="12"/>
      <c r="P33" s="12"/>
      <c r="Q33" s="11"/>
      <c r="AA33"/>
      <c r="AB33"/>
      <c r="AC33" t="s">
        <v>91</v>
      </c>
      <c r="AD33"/>
      <c r="AE33"/>
      <c r="AF33"/>
      <c r="AG33"/>
      <c r="AH33" s="2"/>
      <c r="AI33"/>
    </row>
    <row r="34" spans="2:35" ht="45" customHeight="1" x14ac:dyDescent="0.25">
      <c r="B34" s="10"/>
      <c r="C34" s="180" t="s">
        <v>159</v>
      </c>
      <c r="D34" s="181"/>
      <c r="E34" s="181"/>
      <c r="F34" s="181"/>
      <c r="G34" s="182"/>
      <c r="H34" s="6">
        <v>0</v>
      </c>
      <c r="I34" s="102" t="s">
        <v>101</v>
      </c>
      <c r="J34" s="12"/>
      <c r="K34" s="12"/>
      <c r="L34" s="12"/>
      <c r="M34" s="36"/>
      <c r="N34" s="12"/>
      <c r="O34" s="12"/>
      <c r="P34" s="12"/>
      <c r="Q34" s="11"/>
      <c r="AA34"/>
      <c r="AB34"/>
      <c r="AC34" t="s">
        <v>94</v>
      </c>
      <c r="AD34"/>
      <c r="AE34"/>
      <c r="AF34"/>
      <c r="AG34"/>
      <c r="AH34" s="2"/>
      <c r="AI34"/>
    </row>
    <row r="35" spans="2:35" ht="15.75" hidden="1" x14ac:dyDescent="0.3">
      <c r="B35" s="10"/>
      <c r="C35" s="165" t="s">
        <v>11</v>
      </c>
      <c r="D35" s="165"/>
      <c r="E35" s="165"/>
      <c r="F35" s="165"/>
      <c r="G35" s="166"/>
      <c r="H35" s="65">
        <f>H29/12</f>
        <v>5</v>
      </c>
      <c r="I35" s="76"/>
      <c r="J35" s="12"/>
      <c r="K35" s="12"/>
      <c r="L35" s="12"/>
      <c r="M35" s="13"/>
      <c r="N35" s="12"/>
      <c r="O35" s="12"/>
      <c r="P35" s="12"/>
      <c r="Q35" s="11"/>
      <c r="AA35"/>
      <c r="AB35"/>
      <c r="AC35"/>
      <c r="AD35"/>
      <c r="AE35"/>
      <c r="AF35"/>
      <c r="AG35"/>
      <c r="AH35" s="2"/>
      <c r="AI35"/>
    </row>
    <row r="36" spans="2:35" ht="15" x14ac:dyDescent="0.25">
      <c r="B36" s="10"/>
      <c r="C36" s="82"/>
      <c r="D36" s="82"/>
      <c r="E36" s="82"/>
      <c r="F36" s="82"/>
      <c r="G36" s="82"/>
      <c r="H36" s="43"/>
      <c r="I36" s="76"/>
      <c r="J36" s="12"/>
      <c r="K36" s="12"/>
      <c r="L36" s="12"/>
      <c r="M36" s="13"/>
      <c r="N36" s="12"/>
      <c r="O36" s="12"/>
      <c r="P36" s="12"/>
      <c r="Q36" s="11"/>
      <c r="AA36"/>
      <c r="AB36"/>
      <c r="AC36"/>
      <c r="AD36"/>
      <c r="AE36"/>
      <c r="AF36"/>
      <c r="AG36"/>
      <c r="AH36" s="2"/>
      <c r="AI36"/>
    </row>
    <row r="37" spans="2:35" ht="30" customHeight="1" x14ac:dyDescent="0.25">
      <c r="B37" s="10"/>
      <c r="C37" s="154" t="s">
        <v>27</v>
      </c>
      <c r="D37" s="181"/>
      <c r="E37" s="181"/>
      <c r="F37" s="181"/>
      <c r="G37" s="182"/>
      <c r="H37" s="44" t="s">
        <v>28</v>
      </c>
      <c r="I37" s="76"/>
      <c r="J37" s="12"/>
      <c r="K37" s="12"/>
      <c r="L37" s="12"/>
      <c r="M37" s="13"/>
      <c r="N37" s="12"/>
      <c r="O37" s="12"/>
      <c r="P37" s="12"/>
      <c r="Q37" s="11"/>
      <c r="AA37"/>
      <c r="AB37"/>
      <c r="AC37"/>
      <c r="AD37"/>
      <c r="AE37"/>
      <c r="AF37"/>
      <c r="AG37"/>
      <c r="AH37" s="2"/>
      <c r="AI37"/>
    </row>
    <row r="38" spans="2:35" ht="15" x14ac:dyDescent="0.25">
      <c r="B38" s="10"/>
      <c r="C38" s="93"/>
      <c r="D38" s="93"/>
      <c r="E38" s="93"/>
      <c r="F38" s="93"/>
      <c r="G38" s="93"/>
      <c r="H38" s="94"/>
      <c r="I38" s="76"/>
      <c r="J38" s="12"/>
      <c r="K38" s="12"/>
      <c r="L38" s="12"/>
      <c r="M38" s="13"/>
      <c r="N38" s="12"/>
      <c r="O38" s="12"/>
      <c r="P38" s="12"/>
      <c r="Q38" s="11"/>
      <c r="AA38" s="133" t="s">
        <v>123</v>
      </c>
      <c r="AB38" s="133"/>
      <c r="AC38" s="84">
        <f>-2*'Circular Pipe - Ciment.'!H33*'Circular Pipe - Ciment.'!H23/('Circular Pipe - Ciment.'!H32*12)</f>
        <v>-0.15391999999999997</v>
      </c>
      <c r="AD38"/>
      <c r="AE38"/>
      <c r="AF38"/>
      <c r="AG38"/>
      <c r="AH38" s="2"/>
      <c r="AI38"/>
    </row>
    <row r="39" spans="2:35" ht="30" customHeight="1" x14ac:dyDescent="0.25">
      <c r="B39" s="10"/>
      <c r="C39" s="190" t="str">
        <f>IF(H37="Single Span","","Specify the distance between inside faces of end walls perpendicular to roadway")</f>
        <v/>
      </c>
      <c r="D39" s="190"/>
      <c r="E39" s="190"/>
      <c r="F39" s="190"/>
      <c r="G39" s="190"/>
      <c r="H39" s="114">
        <v>0</v>
      </c>
      <c r="I39" s="76" t="str">
        <f>IF(H37="Single Span","","ft")</f>
        <v/>
      </c>
      <c r="J39" s="42"/>
      <c r="K39" s="12"/>
      <c r="L39" s="12"/>
      <c r="M39" s="68" t="s">
        <v>22</v>
      </c>
      <c r="N39" s="12"/>
      <c r="O39" s="12"/>
      <c r="P39" s="12"/>
      <c r="Q39" s="11"/>
      <c r="AA39"/>
      <c r="AB39"/>
      <c r="AC39"/>
      <c r="AD39"/>
      <c r="AE39"/>
      <c r="AF39"/>
      <c r="AG39"/>
      <c r="AH39" s="2"/>
      <c r="AI39"/>
    </row>
    <row r="40" spans="2:35" ht="15" x14ac:dyDescent="0.25">
      <c r="B40" s="10"/>
      <c r="C40" s="14"/>
      <c r="D40" s="12"/>
      <c r="E40" s="12"/>
      <c r="F40" s="12"/>
      <c r="G40" s="12"/>
      <c r="H40" s="12"/>
      <c r="I40" s="76"/>
      <c r="J40" s="12"/>
      <c r="K40" s="12"/>
      <c r="L40" s="12"/>
      <c r="M40" s="13"/>
      <c r="N40" s="12"/>
      <c r="O40" s="12"/>
      <c r="P40" s="12"/>
      <c r="Q40" s="11"/>
      <c r="AA40"/>
      <c r="AB40"/>
      <c r="AC40" s="110" t="s">
        <v>140</v>
      </c>
      <c r="AD40" s="110"/>
      <c r="AE40" s="111">
        <f>IF(C48="Note: The effects of live load is neglected.",0,1)</f>
        <v>1</v>
      </c>
      <c r="AF40"/>
      <c r="AG40"/>
      <c r="AH40" s="2"/>
      <c r="AI40"/>
    </row>
    <row r="41" spans="2:35" ht="15" x14ac:dyDescent="0.25">
      <c r="B41" s="10"/>
      <c r="C41" s="16" t="s">
        <v>5</v>
      </c>
      <c r="D41" s="12"/>
      <c r="E41" s="12"/>
      <c r="F41" s="12"/>
      <c r="G41" s="12"/>
      <c r="H41" s="12"/>
      <c r="I41" s="76"/>
      <c r="J41" s="12"/>
      <c r="K41" s="12"/>
      <c r="L41" s="12"/>
      <c r="M41" s="68"/>
      <c r="N41" s="12"/>
      <c r="O41" s="12"/>
      <c r="P41" s="12"/>
      <c r="Q41" s="11"/>
      <c r="AA41"/>
      <c r="AB41"/>
      <c r="AC41" s="110">
        <v>0.19239999999999999</v>
      </c>
      <c r="AD41" s="110"/>
      <c r="AE41" s="110"/>
      <c r="AF41"/>
      <c r="AG41"/>
      <c r="AH41" s="2"/>
      <c r="AI41"/>
    </row>
    <row r="42" spans="2:35" ht="15" x14ac:dyDescent="0.25">
      <c r="B42" s="10"/>
      <c r="C42" s="16"/>
      <c r="D42" s="12"/>
      <c r="E42" s="12"/>
      <c r="F42" s="12"/>
      <c r="G42" s="12"/>
      <c r="H42" s="12"/>
      <c r="I42" s="76"/>
      <c r="J42" s="12"/>
      <c r="K42" s="12"/>
      <c r="L42" s="12"/>
      <c r="M42" s="68"/>
      <c r="N42" s="12"/>
      <c r="O42" s="12"/>
      <c r="P42" s="12"/>
      <c r="Q42" s="11"/>
      <c r="AA42"/>
      <c r="AB42"/>
      <c r="AC42" s="110">
        <v>0.16500000000000001</v>
      </c>
      <c r="AD42" s="110"/>
      <c r="AE42" s="110"/>
      <c r="AF42"/>
      <c r="AG42"/>
      <c r="AH42" s="2"/>
      <c r="AI42"/>
    </row>
    <row r="43" spans="2:35" ht="30" customHeight="1" x14ac:dyDescent="0.25">
      <c r="B43" s="10"/>
      <c r="C43" s="169" t="s">
        <v>160</v>
      </c>
      <c r="D43" s="123"/>
      <c r="E43" s="123"/>
      <c r="F43" s="123"/>
      <c r="G43" s="124"/>
      <c r="H43" s="67">
        <f>(1-EXP('Circular Pipe - Ciment.'!AC38))/(2*'Circular Pipe - Ciment.'!H33)</f>
        <v>0.37073647215051442</v>
      </c>
      <c r="I43" s="76"/>
      <c r="J43" s="12"/>
      <c r="K43" s="12"/>
      <c r="L43" s="12"/>
      <c r="M43" s="68"/>
      <c r="N43" s="12"/>
      <c r="O43" s="12"/>
      <c r="P43" s="12"/>
      <c r="Q43" s="11"/>
      <c r="AA43"/>
      <c r="AB43"/>
      <c r="AC43" s="110">
        <v>0.15</v>
      </c>
      <c r="AD43" s="110"/>
      <c r="AE43" s="110" t="s">
        <v>141</v>
      </c>
      <c r="AF43"/>
      <c r="AG43"/>
      <c r="AH43" s="2"/>
      <c r="AI43"/>
    </row>
    <row r="44" spans="2:35" ht="20.100000000000001" customHeight="1" x14ac:dyDescent="0.25">
      <c r="B44" s="10"/>
      <c r="C44" s="159" t="s">
        <v>161</v>
      </c>
      <c r="D44" s="167"/>
      <c r="E44" s="167"/>
      <c r="F44" s="167"/>
      <c r="G44" s="168"/>
      <c r="H44" s="1">
        <f>IF(H37="Single Span",IF(H23&lt;=96,(H21*H22*'Circular Pipe - Ciment.'!AH7)/('Circular Pipe - Ciment.'!AH8*'Circular Pipe - Ciment.'!AH11),0),IF(H23&lt;=(H39*12),(H21*H22*'Circular Pipe - Ciment.'!AH7)/('Circular Pipe - Ciment.'!AH8*'Circular Pipe - Ciment.'!AH11),0))</f>
        <v>12.441821808510642</v>
      </c>
      <c r="I44" s="102" t="s">
        <v>103</v>
      </c>
      <c r="J44" s="12"/>
      <c r="K44" s="12"/>
      <c r="L44" s="12"/>
      <c r="M44" s="12"/>
      <c r="N44" s="12"/>
      <c r="O44" s="12"/>
      <c r="P44" s="12"/>
      <c r="Q44" s="11"/>
      <c r="AA44"/>
      <c r="AB44"/>
      <c r="AC44" s="110">
        <v>0.13</v>
      </c>
      <c r="AD44" s="110"/>
      <c r="AE44" s="110" t="s">
        <v>142</v>
      </c>
      <c r="AF44"/>
      <c r="AG44"/>
      <c r="AH44" s="2"/>
      <c r="AI44"/>
    </row>
    <row r="45" spans="2:35" ht="35.1" customHeight="1" x14ac:dyDescent="0.25">
      <c r="B45" s="10"/>
      <c r="C45" s="154" t="s">
        <v>184</v>
      </c>
      <c r="D45" s="181"/>
      <c r="E45" s="181"/>
      <c r="F45" s="181"/>
      <c r="G45" s="182"/>
      <c r="H45" s="1">
        <f>'Circular Pipe - Ciment.'!AH18</f>
        <v>0.61789412025085744</v>
      </c>
      <c r="I45" s="102" t="s">
        <v>103</v>
      </c>
      <c r="J45" s="12"/>
      <c r="K45" s="12"/>
      <c r="L45" s="12"/>
      <c r="M45" s="12"/>
      <c r="N45" s="12"/>
      <c r="O45" s="12"/>
      <c r="P45" s="12"/>
      <c r="Q45" s="11"/>
      <c r="AA45"/>
      <c r="AB45"/>
      <c r="AC45" s="110">
        <v>0.11</v>
      </c>
      <c r="AD45" s="110"/>
      <c r="AE45" s="110"/>
      <c r="AF45"/>
      <c r="AG45"/>
      <c r="AH45" s="2"/>
      <c r="AI45"/>
    </row>
    <row r="46" spans="2:35" ht="20.100000000000001" customHeight="1" x14ac:dyDescent="0.25">
      <c r="B46" s="10"/>
      <c r="C46" s="159" t="s">
        <v>163</v>
      </c>
      <c r="D46" s="167"/>
      <c r="E46" s="167"/>
      <c r="F46" s="167"/>
      <c r="G46" s="168"/>
      <c r="H46" s="1">
        <f>'Circular Pipe - Ciment.'!AH20</f>
        <v>0</v>
      </c>
      <c r="I46" s="102" t="s">
        <v>103</v>
      </c>
      <c r="J46" s="12"/>
      <c r="K46" s="12"/>
      <c r="L46" s="12"/>
      <c r="M46" s="12"/>
      <c r="N46" s="12"/>
      <c r="O46" s="12"/>
      <c r="P46" s="12"/>
      <c r="Q46" s="11"/>
      <c r="AA46"/>
      <c r="AB46"/>
      <c r="AC46"/>
      <c r="AD46"/>
      <c r="AE46"/>
      <c r="AF46"/>
      <c r="AG46"/>
      <c r="AH46" s="2"/>
      <c r="AI46"/>
    </row>
    <row r="47" spans="2:35" x14ac:dyDescent="0.2">
      <c r="B47" s="10"/>
      <c r="C47" s="12"/>
      <c r="D47" s="12"/>
      <c r="E47" s="12"/>
      <c r="F47" s="12"/>
      <c r="G47" s="12"/>
      <c r="H47" s="12"/>
      <c r="I47" s="76"/>
      <c r="J47" s="12"/>
      <c r="K47" s="12"/>
      <c r="L47" s="12"/>
      <c r="M47" s="12"/>
      <c r="N47" s="12"/>
      <c r="O47" s="12"/>
      <c r="P47" s="12"/>
      <c r="Q47" s="11"/>
    </row>
    <row r="48" spans="2:35" ht="15" customHeight="1" x14ac:dyDescent="0.2">
      <c r="B48" s="10"/>
      <c r="C48" s="125" t="str">
        <f>IF(H37="Single Span",IF(H23&lt;=96,"","Note: The effects of live load is neglected."),IF(H23&lt;=(H39*12),"","Note: The effects of live load is neglected."))</f>
        <v/>
      </c>
      <c r="D48" s="125"/>
      <c r="E48" s="125"/>
      <c r="F48" s="125"/>
      <c r="G48" s="125"/>
      <c r="H48" s="12"/>
      <c r="I48" s="76"/>
      <c r="J48" s="12"/>
      <c r="K48" s="12"/>
      <c r="L48" s="12"/>
      <c r="M48" s="12"/>
      <c r="N48" s="12"/>
      <c r="O48" s="12"/>
      <c r="P48" s="12"/>
      <c r="Q48" s="11"/>
    </row>
    <row r="49" spans="2:34" ht="54.95" customHeight="1" x14ac:dyDescent="0.2">
      <c r="B49" s="10"/>
      <c r="C49" s="126" t="str">
        <f>IF(H37="Single Span",IF(H23&lt;=96,"","Per AASHTO LRFD Bridge Design Specifications, 8th Ed, Section 3.6.1.2.6a: For single-span culverts, the effects of live load may be neglected where the depth of fill is more than 8.0 ft. and exceeds the span length."),IF(H23&lt;=(H39*12),"","Per AASHTO LRFD Bridge Design Specifications, 8th Ed, Section 3.6.1.2.6a: For multiple span culverts, the effects of live load may be neglected where the depth of fill exceeds the distance between inside faces of end walls."))</f>
        <v/>
      </c>
      <c r="D49" s="126"/>
      <c r="E49" s="126"/>
      <c r="F49" s="126"/>
      <c r="G49" s="126"/>
      <c r="H49" s="12"/>
      <c r="I49" s="76"/>
      <c r="J49" s="12"/>
      <c r="K49" s="12"/>
      <c r="L49" s="12"/>
      <c r="M49" s="12"/>
      <c r="N49" s="12"/>
      <c r="O49" s="12"/>
      <c r="P49" s="12"/>
      <c r="Q49" s="11"/>
    </row>
    <row r="50" spans="2:34" x14ac:dyDescent="0.2">
      <c r="B50" s="10"/>
      <c r="C50" s="12"/>
      <c r="D50" s="12"/>
      <c r="E50" s="12"/>
      <c r="F50" s="12"/>
      <c r="G50" s="12"/>
      <c r="H50" s="12"/>
      <c r="I50" s="76"/>
      <c r="J50" s="12"/>
      <c r="K50" s="12"/>
      <c r="L50" s="12"/>
      <c r="M50" s="12"/>
      <c r="N50" s="12"/>
      <c r="O50" s="12"/>
      <c r="P50" s="12"/>
      <c r="Q50" s="11"/>
    </row>
    <row r="51" spans="2:34" ht="15" customHeight="1" x14ac:dyDescent="0.2">
      <c r="B51" s="10"/>
      <c r="C51" s="14" t="s">
        <v>16</v>
      </c>
      <c r="D51" s="12"/>
      <c r="E51" s="12"/>
      <c r="F51" s="12"/>
      <c r="G51" s="12"/>
      <c r="H51" s="12"/>
      <c r="I51" s="76"/>
      <c r="J51" s="12"/>
      <c r="K51" s="12"/>
      <c r="L51" s="12"/>
      <c r="M51" s="12"/>
      <c r="N51" s="12"/>
      <c r="O51" s="12"/>
      <c r="P51" s="12"/>
      <c r="Q51" s="11"/>
    </row>
    <row r="52" spans="2:34" ht="12" customHeight="1" x14ac:dyDescent="0.2">
      <c r="B52" s="10"/>
      <c r="C52" s="17"/>
      <c r="D52" s="12"/>
      <c r="E52" s="12"/>
      <c r="F52" s="12"/>
      <c r="G52" s="12"/>
      <c r="H52" s="12"/>
      <c r="I52" s="76"/>
      <c r="J52" s="12"/>
      <c r="K52" s="12"/>
      <c r="L52" s="12"/>
      <c r="M52" s="12"/>
      <c r="N52" s="12"/>
      <c r="O52" s="12"/>
      <c r="P52" s="12"/>
      <c r="Q52" s="11"/>
    </row>
    <row r="53" spans="2:34" ht="30" hidden="1" customHeight="1" x14ac:dyDescent="0.2">
      <c r="B53" s="10"/>
      <c r="C53" s="178" t="s">
        <v>125</v>
      </c>
      <c r="D53" s="157"/>
      <c r="E53" s="157"/>
      <c r="F53" s="157"/>
      <c r="G53" s="158"/>
      <c r="H53" s="67">
        <f>H29*0.5</f>
        <v>30</v>
      </c>
      <c r="I53" s="76" t="s">
        <v>119</v>
      </c>
      <c r="J53" s="12"/>
      <c r="K53" s="12"/>
      <c r="L53" s="12"/>
      <c r="M53" s="12"/>
      <c r="N53" s="12"/>
      <c r="O53" s="12"/>
      <c r="P53" s="12"/>
      <c r="Q53" s="11"/>
    </row>
    <row r="54" spans="2:34" ht="30" customHeight="1" x14ac:dyDescent="0.2">
      <c r="B54" s="10"/>
      <c r="C54" s="169" t="s">
        <v>162</v>
      </c>
      <c r="D54" s="123"/>
      <c r="E54" s="123"/>
      <c r="F54" s="123"/>
      <c r="G54" s="124"/>
      <c r="H54" s="6">
        <v>1</v>
      </c>
      <c r="I54" s="102" t="s">
        <v>119</v>
      </c>
      <c r="J54" s="12"/>
      <c r="K54" s="12"/>
      <c r="L54" s="12"/>
      <c r="M54" s="12"/>
      <c r="N54" s="12"/>
      <c r="O54" s="12"/>
      <c r="P54" s="12"/>
      <c r="Q54" s="11"/>
    </row>
    <row r="55" spans="2:34" ht="30" customHeight="1" x14ac:dyDescent="0.2">
      <c r="B55" s="10"/>
      <c r="C55" s="122" t="s">
        <v>144</v>
      </c>
      <c r="D55" s="123"/>
      <c r="E55" s="123"/>
      <c r="F55" s="123"/>
      <c r="G55" s="124"/>
      <c r="H55" s="6" t="s">
        <v>142</v>
      </c>
      <c r="I55" s="76"/>
      <c r="J55" s="12"/>
      <c r="K55" s="12"/>
      <c r="L55" s="12"/>
      <c r="M55" s="12"/>
      <c r="N55" s="12"/>
      <c r="O55" s="12"/>
      <c r="P55" s="12"/>
      <c r="Q55" s="11"/>
    </row>
    <row r="56" spans="2:34" ht="30" customHeight="1" x14ac:dyDescent="0.25">
      <c r="B56" s="10"/>
      <c r="C56" s="179" t="str">
        <f>IF(H55="No","c  Distance from the Centroid of the Liner Pipe Wall Profile to the Interior Wall Surface - See figure 8-3","")</f>
        <v>c  Distance from the Centroid of the Liner Pipe Wall Profile to the Interior Wall Surface - See figure 8-3</v>
      </c>
      <c r="D56" s="179"/>
      <c r="E56" s="179"/>
      <c r="F56" s="179"/>
      <c r="G56" s="179"/>
      <c r="H56" s="112">
        <v>0.63700000000000001</v>
      </c>
      <c r="I56" s="77" t="str">
        <f>IF(H55="No","in.","")</f>
        <v>in.</v>
      </c>
      <c r="J56" s="12"/>
      <c r="K56" s="12"/>
      <c r="L56" s="12"/>
      <c r="M56" s="13"/>
      <c r="N56" s="12"/>
      <c r="O56" s="12"/>
      <c r="P56" s="12"/>
      <c r="Q56" s="11"/>
      <c r="U56" s="115">
        <f>IF(H55="Yes",0.5*H54,H56)</f>
        <v>0.63700000000000001</v>
      </c>
      <c r="V56" s="113" t="s">
        <v>119</v>
      </c>
    </row>
    <row r="57" spans="2:34" ht="20.100000000000001" customHeight="1" x14ac:dyDescent="0.25">
      <c r="B57" s="10"/>
      <c r="C57" s="191" t="str">
        <f>IF(H55="No","I  SAPL Area Moment of Inertia of the Liner Wall Section","")</f>
        <v>I  SAPL Area Moment of Inertia of the Liner Wall Section</v>
      </c>
      <c r="D57" s="191"/>
      <c r="E57" s="191"/>
      <c r="F57" s="191"/>
      <c r="G57" s="191"/>
      <c r="H57" s="112">
        <v>0.18140000000000001</v>
      </c>
      <c r="I57" s="77" t="str">
        <f>IF(H55="No","in.4 /in.","")</f>
        <v>in.4 /in.</v>
      </c>
      <c r="J57" s="12"/>
      <c r="K57" s="12"/>
      <c r="L57" s="12"/>
      <c r="M57" s="13"/>
      <c r="N57" s="12"/>
      <c r="O57" s="12"/>
      <c r="P57" s="12"/>
      <c r="Q57" s="11"/>
      <c r="U57" s="115">
        <f>IF(H55="Yes",(H54^3)/12,H57)</f>
        <v>0.18140000000000001</v>
      </c>
      <c r="V57" s="113" t="s">
        <v>143</v>
      </c>
    </row>
    <row r="58" spans="2:34" ht="20.100000000000001" customHeight="1" x14ac:dyDescent="0.25">
      <c r="B58" s="10"/>
      <c r="C58" s="12"/>
      <c r="D58" s="12"/>
      <c r="E58" s="12"/>
      <c r="F58" s="12"/>
      <c r="G58" s="12"/>
      <c r="H58" s="12"/>
      <c r="I58" s="76"/>
      <c r="J58" s="12"/>
      <c r="K58" s="12"/>
      <c r="L58" s="12"/>
      <c r="M58" s="13"/>
      <c r="N58" s="12"/>
      <c r="O58" s="12"/>
      <c r="P58" s="12"/>
      <c r="Q58" s="11"/>
    </row>
    <row r="59" spans="2:34" ht="45" customHeight="1" x14ac:dyDescent="0.25">
      <c r="B59" s="10"/>
      <c r="C59" s="175" t="s">
        <v>164</v>
      </c>
      <c r="D59" s="176"/>
      <c r="E59" s="176"/>
      <c r="F59" s="176"/>
      <c r="G59" s="177"/>
      <c r="H59" s="6">
        <v>-8390</v>
      </c>
      <c r="I59" s="102" t="s">
        <v>103</v>
      </c>
      <c r="J59" s="12"/>
      <c r="K59" s="12"/>
      <c r="L59" s="12"/>
      <c r="M59" s="13"/>
      <c r="N59" s="12"/>
      <c r="O59" s="12"/>
      <c r="P59" s="12"/>
      <c r="Q59" s="11"/>
    </row>
    <row r="60" spans="2:34" ht="60" customHeight="1" x14ac:dyDescent="0.25">
      <c r="B60" s="10"/>
      <c r="C60" s="162" t="s">
        <v>165</v>
      </c>
      <c r="D60" s="163"/>
      <c r="E60" s="163"/>
      <c r="F60" s="163"/>
      <c r="G60" s="164"/>
      <c r="H60" s="6">
        <v>1665</v>
      </c>
      <c r="I60" s="102" t="s">
        <v>103</v>
      </c>
      <c r="J60" s="12"/>
      <c r="K60" s="12"/>
      <c r="L60" s="12"/>
      <c r="M60" s="13"/>
      <c r="N60" s="12"/>
      <c r="O60" s="12"/>
      <c r="P60" s="12"/>
      <c r="Q60" s="11"/>
      <c r="AC60" s="183" t="s">
        <v>242</v>
      </c>
      <c r="AD60" s="184"/>
      <c r="AE60" s="184"/>
      <c r="AF60" s="184"/>
      <c r="AG60" s="185"/>
      <c r="AH60" s="3">
        <f>(H28-H25)/H24</f>
        <v>33.04347826086957</v>
      </c>
    </row>
    <row r="61" spans="2:34" ht="20.100000000000001" customHeight="1" x14ac:dyDescent="0.25">
      <c r="B61" s="10"/>
      <c r="C61" s="154" t="s">
        <v>166</v>
      </c>
      <c r="D61" s="155"/>
      <c r="E61" s="155"/>
      <c r="F61" s="155"/>
      <c r="G61" s="156"/>
      <c r="H61" s="6">
        <v>1</v>
      </c>
      <c r="I61" s="76"/>
      <c r="J61" s="12"/>
      <c r="K61" s="12"/>
      <c r="L61" s="12"/>
      <c r="M61" s="13"/>
      <c r="N61" s="12"/>
      <c r="O61" s="12"/>
      <c r="P61" s="12"/>
      <c r="Q61" s="11"/>
    </row>
    <row r="62" spans="2:34" ht="20.100000000000001" customHeight="1" x14ac:dyDescent="0.25">
      <c r="B62" s="10"/>
      <c r="C62" s="154" t="s">
        <v>167</v>
      </c>
      <c r="D62" s="155"/>
      <c r="E62" s="155"/>
      <c r="F62" s="155"/>
      <c r="G62" s="156"/>
      <c r="H62" s="6">
        <v>1.3</v>
      </c>
      <c r="I62" s="76"/>
      <c r="J62" s="12"/>
      <c r="K62" s="12"/>
      <c r="L62" s="12"/>
      <c r="M62" s="13"/>
      <c r="N62" s="12"/>
      <c r="O62" s="12"/>
      <c r="P62" s="12"/>
      <c r="Q62" s="11"/>
      <c r="AH62" s="3">
        <f>IF(H23&lt;AH60,H25+H24*H23,H25+H28+H24*H23)</f>
        <v>37.599999999999994</v>
      </c>
    </row>
    <row r="63" spans="2:34" ht="20.100000000000001" customHeight="1" x14ac:dyDescent="0.25">
      <c r="B63" s="10"/>
      <c r="C63" s="159" t="s">
        <v>168</v>
      </c>
      <c r="D63" s="160"/>
      <c r="E63" s="160"/>
      <c r="F63" s="160"/>
      <c r="G63" s="161"/>
      <c r="H63" s="6">
        <v>1</v>
      </c>
      <c r="I63" s="76"/>
      <c r="J63" s="12"/>
      <c r="K63" s="12"/>
      <c r="L63" s="12"/>
      <c r="M63" s="13"/>
      <c r="N63" s="12"/>
      <c r="O63" s="12"/>
      <c r="P63" s="12"/>
      <c r="Q63" s="11"/>
    </row>
    <row r="64" spans="2:34" ht="20.100000000000001" customHeight="1" x14ac:dyDescent="0.2">
      <c r="B64" s="10"/>
      <c r="C64" s="159" t="s">
        <v>169</v>
      </c>
      <c r="D64" s="160"/>
      <c r="E64" s="160"/>
      <c r="F64" s="160"/>
      <c r="G64" s="161"/>
      <c r="H64" s="6">
        <v>1</v>
      </c>
      <c r="I64" s="76"/>
      <c r="J64" s="12"/>
      <c r="K64" s="12"/>
      <c r="L64" s="12"/>
      <c r="M64" s="12"/>
      <c r="N64" s="12"/>
      <c r="O64" s="12"/>
      <c r="P64" s="12"/>
      <c r="Q64" s="11"/>
    </row>
    <row r="65" spans="2:17" ht="20.100000000000001" customHeight="1" x14ac:dyDescent="0.2">
      <c r="B65" s="10"/>
      <c r="C65" s="154" t="s">
        <v>170</v>
      </c>
      <c r="D65" s="155"/>
      <c r="E65" s="155"/>
      <c r="F65" s="155"/>
      <c r="G65" s="156"/>
      <c r="H65" s="6">
        <v>1.75</v>
      </c>
      <c r="I65" s="76"/>
      <c r="J65" s="12"/>
      <c r="K65" s="12"/>
      <c r="L65" s="12"/>
      <c r="M65" s="12"/>
      <c r="N65" s="12"/>
      <c r="O65" s="12"/>
      <c r="P65" s="12"/>
      <c r="Q65" s="11"/>
    </row>
    <row r="66" spans="2:17" ht="30" customHeight="1" x14ac:dyDescent="0.2">
      <c r="B66" s="10"/>
      <c r="C66" s="154" t="s">
        <v>171</v>
      </c>
      <c r="D66" s="155"/>
      <c r="E66" s="155"/>
      <c r="F66" s="155"/>
      <c r="G66" s="156"/>
      <c r="H66" s="6">
        <v>1</v>
      </c>
      <c r="I66" s="76"/>
      <c r="J66" s="12"/>
      <c r="K66" s="12"/>
      <c r="L66" s="12"/>
      <c r="M66" s="12"/>
      <c r="N66" s="12"/>
      <c r="O66" s="12"/>
      <c r="P66" s="12"/>
      <c r="Q66" s="11"/>
    </row>
    <row r="67" spans="2:17" ht="30" customHeight="1" x14ac:dyDescent="0.2">
      <c r="B67" s="10"/>
      <c r="C67" s="154" t="s">
        <v>233</v>
      </c>
      <c r="D67" s="155"/>
      <c r="E67" s="155"/>
      <c r="F67" s="155"/>
      <c r="G67" s="156"/>
      <c r="H67" s="6">
        <v>1.05</v>
      </c>
      <c r="I67" s="76"/>
      <c r="J67" s="12"/>
      <c r="K67" s="12"/>
      <c r="L67" s="12"/>
      <c r="M67" s="12"/>
      <c r="N67" s="12"/>
      <c r="O67" s="12"/>
      <c r="P67" s="12"/>
      <c r="Q67" s="11"/>
    </row>
    <row r="68" spans="2:17" ht="30" customHeight="1" x14ac:dyDescent="0.2">
      <c r="B68" s="10"/>
      <c r="C68" s="154" t="s">
        <v>234</v>
      </c>
      <c r="D68" s="155"/>
      <c r="E68" s="155"/>
      <c r="F68" s="155"/>
      <c r="G68" s="156"/>
      <c r="H68" s="6">
        <v>1</v>
      </c>
      <c r="I68" s="76"/>
      <c r="J68" s="12"/>
      <c r="K68" s="12"/>
      <c r="L68" s="12"/>
      <c r="M68" s="12"/>
      <c r="N68" s="12"/>
      <c r="O68" s="12"/>
      <c r="P68" s="12"/>
      <c r="Q68" s="11"/>
    </row>
    <row r="69" spans="2:17" ht="30" customHeight="1" x14ac:dyDescent="0.2">
      <c r="B69" s="10"/>
      <c r="C69" s="154" t="s">
        <v>172</v>
      </c>
      <c r="D69" s="155"/>
      <c r="E69" s="155"/>
      <c r="F69" s="155"/>
      <c r="G69" s="156"/>
      <c r="H69" s="6">
        <v>1</v>
      </c>
      <c r="I69" s="76"/>
      <c r="J69" s="12"/>
      <c r="K69" s="12"/>
      <c r="L69" s="12"/>
      <c r="M69" s="68"/>
      <c r="N69" s="12"/>
      <c r="O69" s="12"/>
      <c r="P69" s="12"/>
      <c r="Q69" s="11"/>
    </row>
    <row r="70" spans="2:17" ht="15" hidden="1" customHeight="1" x14ac:dyDescent="0.25">
      <c r="B70" s="10"/>
      <c r="C70" s="157" t="s">
        <v>21</v>
      </c>
      <c r="D70" s="157"/>
      <c r="E70" s="157"/>
      <c r="F70" s="157"/>
      <c r="G70" s="158"/>
      <c r="H70" s="65">
        <f>H29</f>
        <v>60</v>
      </c>
      <c r="I70" s="76"/>
      <c r="J70" s="12"/>
      <c r="K70" s="12"/>
      <c r="L70" s="12"/>
      <c r="M70" s="12"/>
      <c r="N70" s="12"/>
      <c r="O70" s="12"/>
      <c r="P70" s="12"/>
      <c r="Q70" s="11"/>
    </row>
    <row r="71" spans="2:17" ht="15" x14ac:dyDescent="0.25">
      <c r="B71" s="10"/>
      <c r="C71" s="17"/>
      <c r="D71" s="12"/>
      <c r="E71" s="12"/>
      <c r="F71" s="12"/>
      <c r="G71" s="12"/>
      <c r="H71" s="18"/>
      <c r="I71" s="76"/>
      <c r="J71" s="12"/>
      <c r="K71" s="12"/>
      <c r="L71" s="12"/>
      <c r="M71" s="36"/>
      <c r="N71" s="12"/>
      <c r="O71" s="12"/>
      <c r="P71" s="12"/>
      <c r="Q71" s="11"/>
    </row>
    <row r="72" spans="2:17" ht="15" x14ac:dyDescent="0.25">
      <c r="B72" s="10"/>
      <c r="C72" s="14" t="s">
        <v>17</v>
      </c>
      <c r="D72" s="12"/>
      <c r="E72" s="12"/>
      <c r="F72" s="12"/>
      <c r="G72" s="12"/>
      <c r="H72" s="18"/>
      <c r="I72" s="76"/>
      <c r="J72" s="12"/>
      <c r="K72" s="12"/>
      <c r="L72" s="12"/>
      <c r="M72" s="13"/>
      <c r="N72" s="12"/>
      <c r="O72" s="12"/>
      <c r="P72" s="12"/>
      <c r="Q72" s="11"/>
    </row>
    <row r="73" spans="2:17" ht="15" x14ac:dyDescent="0.25">
      <c r="B73" s="10"/>
      <c r="C73" s="14"/>
      <c r="D73" s="12"/>
      <c r="E73" s="12"/>
      <c r="F73" s="12"/>
      <c r="G73" s="12"/>
      <c r="H73" s="18"/>
      <c r="I73" s="76"/>
      <c r="J73" s="12"/>
      <c r="K73" s="12"/>
      <c r="L73" s="12"/>
      <c r="M73" s="68"/>
      <c r="N73" s="12"/>
      <c r="O73" s="12"/>
      <c r="P73" s="12"/>
      <c r="Q73" s="11"/>
    </row>
    <row r="74" spans="2:17" ht="20.100000000000001" customHeight="1" x14ac:dyDescent="0.25">
      <c r="B74" s="10"/>
      <c r="C74" s="95" t="s">
        <v>124</v>
      </c>
      <c r="D74" s="12"/>
      <c r="E74" s="12"/>
      <c r="F74" s="12"/>
      <c r="G74" s="12"/>
      <c r="H74" s="18"/>
      <c r="I74" s="76"/>
      <c r="J74" s="12"/>
      <c r="K74" s="12"/>
      <c r="L74" s="12"/>
      <c r="M74" s="13"/>
      <c r="N74" s="12"/>
      <c r="O74" s="12"/>
      <c r="P74" s="12"/>
      <c r="Q74" s="11"/>
    </row>
    <row r="75" spans="2:17" ht="20.100000000000001" customHeight="1" x14ac:dyDescent="0.25">
      <c r="B75" s="10"/>
      <c r="C75" s="148" t="s">
        <v>173</v>
      </c>
      <c r="D75" s="149"/>
      <c r="E75" s="149"/>
      <c r="F75" s="149"/>
      <c r="G75" s="150"/>
      <c r="H75" s="1">
        <f>0.8323*(H61*H45+'Circular Pipe - Ciment.'!AH19*'Circular Pipe - Ciment.'!H44*H64)*'Circular Pipe - Ciment.'!H53+H46</f>
        <v>210.10837016354373</v>
      </c>
      <c r="I75" s="102" t="s">
        <v>120</v>
      </c>
      <c r="J75" s="12"/>
      <c r="K75" s="12"/>
      <c r="L75" s="12"/>
      <c r="M75" s="13"/>
      <c r="N75" s="12"/>
      <c r="O75" s="12"/>
      <c r="P75" s="12"/>
      <c r="Q75" s="11"/>
    </row>
    <row r="76" spans="2:17" ht="30" customHeight="1" x14ac:dyDescent="0.2">
      <c r="B76" s="10"/>
      <c r="C76" s="122" t="s">
        <v>174</v>
      </c>
      <c r="D76" s="152"/>
      <c r="E76" s="152"/>
      <c r="F76" s="152"/>
      <c r="G76" s="153"/>
      <c r="H76" s="1">
        <f>H54</f>
        <v>1</v>
      </c>
      <c r="I76" s="102" t="s">
        <v>121</v>
      </c>
      <c r="J76" s="12"/>
      <c r="K76" s="12"/>
      <c r="L76" s="12"/>
      <c r="M76" s="36"/>
      <c r="N76" s="12"/>
      <c r="O76" s="12"/>
      <c r="P76" s="12"/>
      <c r="Q76" s="11"/>
    </row>
    <row r="77" spans="2:17" ht="20.100000000000001" customHeight="1" x14ac:dyDescent="0.2">
      <c r="B77" s="10"/>
      <c r="C77" s="148" t="s">
        <v>175</v>
      </c>
      <c r="D77" s="149"/>
      <c r="E77" s="149"/>
      <c r="F77" s="149"/>
      <c r="G77" s="150"/>
      <c r="H77" s="1">
        <f>0.0062*'Circular Pipe - Ciment.'!AH19*'Circular Pipe - Ciment.'!H44*H64*(('Circular Pipe - Ciment.'!H53)^2)</f>
        <v>43.506562500000001</v>
      </c>
      <c r="I77" s="102" t="s">
        <v>122</v>
      </c>
      <c r="J77" s="12"/>
      <c r="K77" s="12"/>
      <c r="L77" s="12"/>
      <c r="M77" s="12"/>
      <c r="N77" s="12"/>
      <c r="O77" s="12"/>
      <c r="P77" s="12"/>
      <c r="Q77" s="11"/>
    </row>
    <row r="78" spans="2:17" ht="30" customHeight="1" x14ac:dyDescent="0.2">
      <c r="B78" s="10"/>
      <c r="C78" s="148" t="s">
        <v>176</v>
      </c>
      <c r="D78" s="149"/>
      <c r="E78" s="149"/>
      <c r="F78" s="149"/>
      <c r="G78" s="150"/>
      <c r="H78" s="1">
        <f>(-(H75/H76))+((H77*U56)/U57)</f>
        <v>-57.331742200478658</v>
      </c>
      <c r="I78" s="102" t="s">
        <v>103</v>
      </c>
      <c r="J78" s="151" t="str">
        <f>IF(H78&gt;=H59,IF(H78&lt;=H60,"Stress within limits. The "&amp;H54&amp;"-in. thick liner is sufficient.","Stress exceeds limits. The "&amp;H54&amp;"-in. thick liner is not sufficient."),"Stress exceeds limits. The "&amp;H54&amp;"-in. thick liner is not sufficient.")</f>
        <v>Stress within limits. The 1-in. thick liner is sufficient.</v>
      </c>
      <c r="K78" s="151"/>
      <c r="L78" s="151"/>
      <c r="M78" s="151"/>
      <c r="N78" s="151"/>
      <c r="O78" s="151"/>
      <c r="P78" s="12"/>
      <c r="Q78" s="11"/>
    </row>
    <row r="79" spans="2:17" ht="15" x14ac:dyDescent="0.25">
      <c r="B79" s="10"/>
      <c r="C79" s="12"/>
      <c r="D79" s="12"/>
      <c r="E79" s="12"/>
      <c r="F79" s="12"/>
      <c r="G79" s="12"/>
      <c r="H79" s="18"/>
      <c r="I79" s="76"/>
      <c r="J79" s="52"/>
      <c r="K79" s="52"/>
      <c r="L79" s="52"/>
      <c r="M79" s="52"/>
      <c r="N79" s="52"/>
      <c r="O79" s="52"/>
      <c r="P79" s="12"/>
      <c r="Q79" s="11"/>
    </row>
    <row r="80" spans="2:17" ht="15" x14ac:dyDescent="0.25">
      <c r="B80" s="10"/>
      <c r="C80" s="12"/>
      <c r="D80" s="12"/>
      <c r="E80" s="12"/>
      <c r="F80" s="12"/>
      <c r="G80" s="12"/>
      <c r="H80" s="18"/>
      <c r="I80" s="76"/>
      <c r="J80" s="52"/>
      <c r="K80" s="52"/>
      <c r="L80" s="52"/>
      <c r="M80" s="52"/>
      <c r="N80" s="52"/>
      <c r="O80" s="52"/>
      <c r="P80" s="12"/>
      <c r="Q80" s="11"/>
    </row>
    <row r="81" spans="2:17" ht="20.100000000000001" customHeight="1" x14ac:dyDescent="0.25">
      <c r="B81" s="10"/>
      <c r="C81" s="95" t="s">
        <v>126</v>
      </c>
      <c r="D81" s="12"/>
      <c r="E81" s="12"/>
      <c r="F81" s="12"/>
      <c r="G81" s="12"/>
      <c r="H81" s="18"/>
      <c r="I81" s="76"/>
      <c r="J81" s="12"/>
      <c r="K81" s="12"/>
      <c r="L81" s="12"/>
      <c r="M81" s="13"/>
      <c r="N81" s="12"/>
      <c r="O81" s="12"/>
      <c r="P81" s="12"/>
      <c r="Q81" s="11"/>
    </row>
    <row r="82" spans="2:17" ht="20.100000000000001" customHeight="1" x14ac:dyDescent="0.25">
      <c r="B82" s="10"/>
      <c r="C82" s="148" t="s">
        <v>177</v>
      </c>
      <c r="D82" s="149"/>
      <c r="E82" s="149"/>
      <c r="F82" s="149"/>
      <c r="G82" s="150"/>
      <c r="H82" s="1">
        <f>0.8323*(H66*H67*H62*H45+'Circular Pipe - Ciment.'!AH19*'Circular Pipe - Ciment.'!H44*H65*H69*H68)*'Circular Pipe - Ciment.'!H53+H46*H63</f>
        <v>361.74979144511218</v>
      </c>
      <c r="I82" s="102" t="s">
        <v>120</v>
      </c>
      <c r="J82" s="12"/>
      <c r="K82" s="12"/>
      <c r="L82" s="12"/>
      <c r="M82" s="13"/>
      <c r="N82" s="12"/>
      <c r="O82" s="12"/>
      <c r="P82" s="12"/>
      <c r="Q82" s="11"/>
    </row>
    <row r="83" spans="2:17" ht="30" customHeight="1" x14ac:dyDescent="0.2">
      <c r="B83" s="10"/>
      <c r="C83" s="122" t="s">
        <v>174</v>
      </c>
      <c r="D83" s="152"/>
      <c r="E83" s="152"/>
      <c r="F83" s="152"/>
      <c r="G83" s="153"/>
      <c r="H83" s="1">
        <f>H54</f>
        <v>1</v>
      </c>
      <c r="I83" s="102" t="s">
        <v>121</v>
      </c>
      <c r="J83" s="12"/>
      <c r="K83" s="12"/>
      <c r="L83" s="12"/>
      <c r="M83" s="36"/>
      <c r="N83" s="12"/>
      <c r="O83" s="12"/>
      <c r="P83" s="12"/>
      <c r="Q83" s="11"/>
    </row>
    <row r="84" spans="2:17" ht="20.100000000000001" customHeight="1" x14ac:dyDescent="0.2">
      <c r="B84" s="10"/>
      <c r="C84" s="148" t="s">
        <v>178</v>
      </c>
      <c r="D84" s="149"/>
      <c r="E84" s="149"/>
      <c r="F84" s="149"/>
      <c r="G84" s="150"/>
      <c r="H84" s="1">
        <f>0.0062*'Circular Pipe - Ciment.'!AH19*'Circular Pipe - Ciment.'!H44*H65*H69*H68*(('Circular Pipe - Ciment.'!H53)^2)</f>
        <v>76.136484375000009</v>
      </c>
      <c r="I84" s="102" t="s">
        <v>122</v>
      </c>
      <c r="J84" s="12"/>
      <c r="K84" s="12"/>
      <c r="L84" s="12"/>
      <c r="M84" s="12"/>
      <c r="N84" s="12"/>
      <c r="O84" s="12"/>
      <c r="P84" s="12"/>
      <c r="Q84" s="11"/>
    </row>
    <row r="85" spans="2:17" ht="30" customHeight="1" x14ac:dyDescent="0.2">
      <c r="B85" s="10"/>
      <c r="C85" s="148" t="s">
        <v>179</v>
      </c>
      <c r="D85" s="149"/>
      <c r="E85" s="149"/>
      <c r="F85" s="149"/>
      <c r="G85" s="150"/>
      <c r="H85" s="1">
        <f>(-(H82/H83))+((H84*U56)/U57)</f>
        <v>-94.390692509748305</v>
      </c>
      <c r="I85" s="102" t="s">
        <v>103</v>
      </c>
      <c r="J85" s="151" t="str">
        <f>IF(H85&gt;=H59,IF(H85&lt;=H60,"Stress within limits. The "&amp;H54&amp;"-in. thick liner is sufficient.","Stress exceeds limits. The "&amp;H54&amp;"-in. thick liner is not sufficient."),"Stress exceeds limits. The "&amp;H54&amp;"-in. thick liner is not sufficient.")</f>
        <v>Stress within limits. The 1-in. thick liner is sufficient.</v>
      </c>
      <c r="K85" s="151"/>
      <c r="L85" s="151"/>
      <c r="M85" s="151"/>
      <c r="N85" s="151"/>
      <c r="O85" s="151"/>
      <c r="P85" s="12"/>
      <c r="Q85" s="11"/>
    </row>
    <row r="86" spans="2:17" ht="18.75" thickBot="1" x14ac:dyDescent="0.3">
      <c r="B86" s="19"/>
      <c r="C86" s="87"/>
      <c r="D86" s="88"/>
      <c r="E86" s="20"/>
      <c r="F86" s="20"/>
      <c r="G86" s="20"/>
      <c r="H86" s="21"/>
      <c r="I86" s="75"/>
      <c r="J86" s="22"/>
      <c r="K86" s="22"/>
      <c r="L86" s="22"/>
      <c r="M86" s="22"/>
      <c r="N86" s="22"/>
      <c r="O86" s="22"/>
      <c r="P86" s="20"/>
      <c r="Q86" s="23"/>
    </row>
    <row r="87" spans="2:17" ht="15" x14ac:dyDescent="0.25">
      <c r="H87" s="5"/>
    </row>
    <row r="88" spans="2:17" ht="15" x14ac:dyDescent="0.25">
      <c r="H88" s="5"/>
    </row>
    <row r="89" spans="2:17" ht="15" x14ac:dyDescent="0.25">
      <c r="H89" s="5"/>
    </row>
    <row r="90" spans="2:17" ht="15" x14ac:dyDescent="0.25">
      <c r="H90" s="5"/>
    </row>
    <row r="91" spans="2:17" ht="15" x14ac:dyDescent="0.25">
      <c r="H91" s="5"/>
    </row>
    <row r="92" spans="2:17" ht="15" x14ac:dyDescent="0.25">
      <c r="H92" s="5"/>
    </row>
    <row r="93" spans="2:17" ht="15" x14ac:dyDescent="0.25">
      <c r="H93" s="5"/>
    </row>
    <row r="94" spans="2:17" ht="15" x14ac:dyDescent="0.25">
      <c r="H94" s="5"/>
    </row>
    <row r="95" spans="2:17" ht="15" x14ac:dyDescent="0.25">
      <c r="H95" s="5"/>
    </row>
    <row r="96" spans="2:17" ht="15" x14ac:dyDescent="0.25">
      <c r="H96" s="5"/>
    </row>
    <row r="97" spans="8:8" ht="15" x14ac:dyDescent="0.25">
      <c r="H97" s="5"/>
    </row>
    <row r="98" spans="8:8" ht="15" x14ac:dyDescent="0.25">
      <c r="H98" s="5"/>
    </row>
    <row r="99" spans="8:8" ht="15" x14ac:dyDescent="0.25">
      <c r="H99" s="5"/>
    </row>
    <row r="100" spans="8:8" ht="15" x14ac:dyDescent="0.25">
      <c r="H100" s="5"/>
    </row>
    <row r="101" spans="8:8" ht="15" x14ac:dyDescent="0.25">
      <c r="H101" s="5"/>
    </row>
    <row r="102" spans="8:8" ht="15" x14ac:dyDescent="0.25">
      <c r="H102" s="5"/>
    </row>
    <row r="103" spans="8:8" ht="15" x14ac:dyDescent="0.25">
      <c r="H103" s="5"/>
    </row>
    <row r="104" spans="8:8" ht="15" x14ac:dyDescent="0.25">
      <c r="H104" s="5"/>
    </row>
    <row r="105" spans="8:8" ht="15" x14ac:dyDescent="0.25">
      <c r="H105" s="5"/>
    </row>
    <row r="106" spans="8:8" ht="15" x14ac:dyDescent="0.25">
      <c r="H106" s="5"/>
    </row>
    <row r="107" spans="8:8" ht="15" x14ac:dyDescent="0.25">
      <c r="H107" s="5"/>
    </row>
    <row r="108" spans="8:8" ht="15" x14ac:dyDescent="0.25">
      <c r="H108" s="5"/>
    </row>
    <row r="109" spans="8:8" ht="15" x14ac:dyDescent="0.25">
      <c r="H109" s="5"/>
    </row>
    <row r="110" spans="8:8" ht="15" x14ac:dyDescent="0.25">
      <c r="H110" s="5"/>
    </row>
    <row r="111" spans="8:8" ht="15" x14ac:dyDescent="0.25">
      <c r="H111" s="5"/>
    </row>
    <row r="112" spans="8:8" ht="15" x14ac:dyDescent="0.25">
      <c r="H112" s="5"/>
    </row>
    <row r="113" spans="8:8" ht="15" x14ac:dyDescent="0.25">
      <c r="H113" s="5"/>
    </row>
    <row r="114" spans="8:8" ht="15" x14ac:dyDescent="0.25">
      <c r="H114" s="5"/>
    </row>
    <row r="115" spans="8:8" ht="15" x14ac:dyDescent="0.25">
      <c r="H115" s="5"/>
    </row>
    <row r="116" spans="8:8" ht="15" x14ac:dyDescent="0.25">
      <c r="H116" s="5"/>
    </row>
    <row r="117" spans="8:8" ht="15" x14ac:dyDescent="0.25">
      <c r="H117" s="5"/>
    </row>
    <row r="118" spans="8:8" ht="15" x14ac:dyDescent="0.25">
      <c r="H118" s="5"/>
    </row>
    <row r="119" spans="8:8" ht="15" x14ac:dyDescent="0.25">
      <c r="H119" s="5"/>
    </row>
    <row r="120" spans="8:8" ht="15" x14ac:dyDescent="0.25">
      <c r="H120" s="5"/>
    </row>
    <row r="121" spans="8:8" ht="15" x14ac:dyDescent="0.25">
      <c r="H121" s="5"/>
    </row>
    <row r="122" spans="8:8" ht="15" x14ac:dyDescent="0.25">
      <c r="H122" s="5"/>
    </row>
    <row r="123" spans="8:8" ht="15" x14ac:dyDescent="0.25">
      <c r="H123" s="5"/>
    </row>
    <row r="124" spans="8:8" ht="15" x14ac:dyDescent="0.25">
      <c r="H124" s="5"/>
    </row>
    <row r="125" spans="8:8" ht="15" x14ac:dyDescent="0.25">
      <c r="H125" s="5"/>
    </row>
    <row r="126" spans="8:8" ht="15" x14ac:dyDescent="0.25">
      <c r="H126" s="5"/>
    </row>
    <row r="127" spans="8:8" ht="15" x14ac:dyDescent="0.25">
      <c r="H127" s="5"/>
    </row>
    <row r="128" spans="8:8" ht="15" x14ac:dyDescent="0.25">
      <c r="H128" s="5"/>
    </row>
    <row r="129" spans="8:8" ht="15" x14ac:dyDescent="0.25">
      <c r="H129" s="5"/>
    </row>
    <row r="130" spans="8:8" ht="15" x14ac:dyDescent="0.25">
      <c r="H130" s="5"/>
    </row>
    <row r="131" spans="8:8" ht="15" x14ac:dyDescent="0.25">
      <c r="H131" s="5"/>
    </row>
    <row r="132" spans="8:8" ht="15" x14ac:dyDescent="0.25">
      <c r="H132" s="5"/>
    </row>
    <row r="133" spans="8:8" ht="15" x14ac:dyDescent="0.25">
      <c r="H133" s="5"/>
    </row>
    <row r="134" spans="8:8" ht="15" x14ac:dyDescent="0.25">
      <c r="H134" s="5"/>
    </row>
    <row r="135" spans="8:8" ht="15" x14ac:dyDescent="0.25">
      <c r="H135" s="5"/>
    </row>
    <row r="136" spans="8:8" ht="15" x14ac:dyDescent="0.25">
      <c r="H136" s="5"/>
    </row>
    <row r="137" spans="8:8" ht="15" x14ac:dyDescent="0.25">
      <c r="H137" s="5"/>
    </row>
    <row r="138" spans="8:8" ht="15" x14ac:dyDescent="0.25">
      <c r="H138" s="5"/>
    </row>
    <row r="139" spans="8:8" ht="15" x14ac:dyDescent="0.25">
      <c r="H139" s="5"/>
    </row>
    <row r="140" spans="8:8" ht="15" x14ac:dyDescent="0.25">
      <c r="H140" s="5"/>
    </row>
    <row r="141" spans="8:8" ht="15" x14ac:dyDescent="0.25">
      <c r="H141" s="5"/>
    </row>
    <row r="142" spans="8:8" ht="15" x14ac:dyDescent="0.25">
      <c r="H142" s="5"/>
    </row>
    <row r="143" spans="8:8" ht="15" x14ac:dyDescent="0.25">
      <c r="H143" s="5"/>
    </row>
    <row r="144" spans="8:8" ht="15" x14ac:dyDescent="0.25">
      <c r="H144" s="5"/>
    </row>
    <row r="145" spans="8:8" ht="15" x14ac:dyDescent="0.25">
      <c r="H145" s="5"/>
    </row>
    <row r="146" spans="8:8" ht="15" x14ac:dyDescent="0.25">
      <c r="H146" s="5"/>
    </row>
    <row r="147" spans="8:8" ht="15" x14ac:dyDescent="0.25">
      <c r="H147" s="5"/>
    </row>
    <row r="148" spans="8:8" ht="15" x14ac:dyDescent="0.25">
      <c r="H148" s="5"/>
    </row>
    <row r="149" spans="8:8" ht="15" x14ac:dyDescent="0.25">
      <c r="H149" s="5"/>
    </row>
    <row r="150" spans="8:8" ht="15" x14ac:dyDescent="0.25">
      <c r="H150" s="5"/>
    </row>
    <row r="151" spans="8:8" ht="15" x14ac:dyDescent="0.25">
      <c r="H151" s="5"/>
    </row>
    <row r="152" spans="8:8" ht="15" x14ac:dyDescent="0.25">
      <c r="H152" s="5"/>
    </row>
    <row r="153" spans="8:8" ht="15" x14ac:dyDescent="0.25">
      <c r="H153" s="5"/>
    </row>
    <row r="154" spans="8:8" ht="15" x14ac:dyDescent="0.25">
      <c r="H154" s="5"/>
    </row>
    <row r="155" spans="8:8" ht="15" x14ac:dyDescent="0.25">
      <c r="H155" s="5"/>
    </row>
    <row r="156" spans="8:8" ht="15" x14ac:dyDescent="0.25">
      <c r="H156" s="5"/>
    </row>
    <row r="157" spans="8:8" ht="15" x14ac:dyDescent="0.25">
      <c r="H157" s="5"/>
    </row>
    <row r="158" spans="8:8" ht="15" x14ac:dyDescent="0.25">
      <c r="H158" s="5"/>
    </row>
    <row r="159" spans="8:8" ht="15" x14ac:dyDescent="0.25">
      <c r="H159" s="5"/>
    </row>
    <row r="160" spans="8:8" ht="15" x14ac:dyDescent="0.25">
      <c r="H160" s="5"/>
    </row>
    <row r="161" spans="8:8" ht="15" x14ac:dyDescent="0.25">
      <c r="H161" s="5"/>
    </row>
    <row r="162" spans="8:8" ht="15" x14ac:dyDescent="0.25">
      <c r="H162" s="5"/>
    </row>
    <row r="163" spans="8:8" ht="15" x14ac:dyDescent="0.25">
      <c r="H163" s="5"/>
    </row>
    <row r="164" spans="8:8" ht="15" x14ac:dyDescent="0.25">
      <c r="H164" s="5"/>
    </row>
    <row r="165" spans="8:8" ht="15" x14ac:dyDescent="0.25">
      <c r="H165" s="5"/>
    </row>
    <row r="166" spans="8:8" ht="15" x14ac:dyDescent="0.25">
      <c r="H166" s="5"/>
    </row>
    <row r="167" spans="8:8" ht="15" x14ac:dyDescent="0.25">
      <c r="H167" s="5"/>
    </row>
    <row r="168" spans="8:8" ht="15" x14ac:dyDescent="0.25">
      <c r="H168" s="5"/>
    </row>
    <row r="169" spans="8:8" ht="15" x14ac:dyDescent="0.25">
      <c r="H169" s="5"/>
    </row>
    <row r="170" spans="8:8" ht="15" x14ac:dyDescent="0.25">
      <c r="H170" s="5"/>
    </row>
    <row r="171" spans="8:8" ht="15" x14ac:dyDescent="0.25">
      <c r="H171" s="5"/>
    </row>
    <row r="172" spans="8:8" ht="15" x14ac:dyDescent="0.25">
      <c r="H172" s="5"/>
    </row>
    <row r="173" spans="8:8" ht="15" x14ac:dyDescent="0.25">
      <c r="H173" s="5"/>
    </row>
    <row r="174" spans="8:8" ht="15" x14ac:dyDescent="0.25">
      <c r="H174" s="5"/>
    </row>
    <row r="175" spans="8:8" ht="15" x14ac:dyDescent="0.25">
      <c r="H175" s="5"/>
    </row>
    <row r="176" spans="8:8" ht="15" x14ac:dyDescent="0.25">
      <c r="H176" s="5"/>
    </row>
    <row r="177" spans="8:8" ht="15" x14ac:dyDescent="0.25">
      <c r="H177" s="5"/>
    </row>
    <row r="178" spans="8:8" ht="15" x14ac:dyDescent="0.25">
      <c r="H178" s="5"/>
    </row>
    <row r="179" spans="8:8" ht="15" x14ac:dyDescent="0.25">
      <c r="H179" s="5"/>
    </row>
    <row r="180" spans="8:8" ht="15" x14ac:dyDescent="0.25">
      <c r="H180" s="5"/>
    </row>
    <row r="181" spans="8:8" ht="15" x14ac:dyDescent="0.25">
      <c r="H181" s="5"/>
    </row>
    <row r="182" spans="8:8" ht="15" x14ac:dyDescent="0.25">
      <c r="H182" s="5"/>
    </row>
    <row r="183" spans="8:8" ht="15" x14ac:dyDescent="0.25">
      <c r="H183" s="5"/>
    </row>
    <row r="184" spans="8:8" ht="15" x14ac:dyDescent="0.25">
      <c r="H184" s="5"/>
    </row>
    <row r="185" spans="8:8" ht="15" x14ac:dyDescent="0.25">
      <c r="H185" s="5"/>
    </row>
    <row r="186" spans="8:8" ht="15" x14ac:dyDescent="0.25">
      <c r="H186" s="5"/>
    </row>
    <row r="187" spans="8:8" ht="15" x14ac:dyDescent="0.25">
      <c r="H187" s="5"/>
    </row>
    <row r="188" spans="8:8" ht="15" x14ac:dyDescent="0.25">
      <c r="H188" s="5"/>
    </row>
    <row r="189" spans="8:8" ht="15" x14ac:dyDescent="0.25">
      <c r="H189" s="5"/>
    </row>
    <row r="190" spans="8:8" ht="15" x14ac:dyDescent="0.25">
      <c r="H190" s="5"/>
    </row>
    <row r="191" spans="8:8" ht="15" x14ac:dyDescent="0.25">
      <c r="H191" s="5"/>
    </row>
    <row r="192" spans="8:8" ht="15" x14ac:dyDescent="0.25">
      <c r="H192" s="5"/>
    </row>
    <row r="193" spans="8:8" ht="15" x14ac:dyDescent="0.25">
      <c r="H193" s="5"/>
    </row>
    <row r="194" spans="8:8" ht="15" x14ac:dyDescent="0.25">
      <c r="H194" s="5"/>
    </row>
    <row r="195" spans="8:8" ht="15" x14ac:dyDescent="0.25">
      <c r="H195" s="5"/>
    </row>
    <row r="196" spans="8:8" ht="15" x14ac:dyDescent="0.25">
      <c r="H196" s="5"/>
    </row>
    <row r="197" spans="8:8" ht="15" x14ac:dyDescent="0.25">
      <c r="H197" s="5"/>
    </row>
    <row r="198" spans="8:8" ht="15" x14ac:dyDescent="0.25">
      <c r="H198" s="5"/>
    </row>
    <row r="199" spans="8:8" ht="15" x14ac:dyDescent="0.25">
      <c r="H199" s="5"/>
    </row>
    <row r="200" spans="8:8" ht="15" x14ac:dyDescent="0.25">
      <c r="H200" s="5"/>
    </row>
    <row r="201" spans="8:8" ht="15" x14ac:dyDescent="0.25">
      <c r="H201" s="5"/>
    </row>
    <row r="202" spans="8:8" ht="15" x14ac:dyDescent="0.25">
      <c r="H202" s="5"/>
    </row>
    <row r="203" spans="8:8" ht="15" x14ac:dyDescent="0.25">
      <c r="H203" s="5"/>
    </row>
    <row r="204" spans="8:8" ht="15" x14ac:dyDescent="0.25">
      <c r="H204" s="5"/>
    </row>
    <row r="205" spans="8:8" ht="15" x14ac:dyDescent="0.25">
      <c r="H205" s="5"/>
    </row>
    <row r="206" spans="8:8" ht="15" x14ac:dyDescent="0.25">
      <c r="H206" s="5"/>
    </row>
    <row r="207" spans="8:8" ht="15" x14ac:dyDescent="0.25">
      <c r="H207" s="5"/>
    </row>
    <row r="208" spans="8:8" ht="15" x14ac:dyDescent="0.25">
      <c r="H208" s="5"/>
    </row>
    <row r="209" spans="8:8" ht="15" x14ac:dyDescent="0.25">
      <c r="H209" s="5"/>
    </row>
    <row r="210" spans="8:8" ht="15" x14ac:dyDescent="0.25">
      <c r="H210" s="5"/>
    </row>
    <row r="211" spans="8:8" ht="15" x14ac:dyDescent="0.25">
      <c r="H211" s="5"/>
    </row>
    <row r="212" spans="8:8" ht="15" x14ac:dyDescent="0.25">
      <c r="H212" s="5"/>
    </row>
    <row r="213" spans="8:8" ht="15" x14ac:dyDescent="0.25">
      <c r="H213" s="5"/>
    </row>
    <row r="214" spans="8:8" ht="15" x14ac:dyDescent="0.25">
      <c r="H214" s="5"/>
    </row>
    <row r="215" spans="8:8" ht="15" x14ac:dyDescent="0.25">
      <c r="H215" s="5"/>
    </row>
    <row r="216" spans="8:8" ht="15" x14ac:dyDescent="0.25">
      <c r="H216" s="5"/>
    </row>
    <row r="217" spans="8:8" ht="15" x14ac:dyDescent="0.25">
      <c r="H217" s="5"/>
    </row>
    <row r="218" spans="8:8" ht="15" x14ac:dyDescent="0.25">
      <c r="H218" s="5"/>
    </row>
    <row r="219" spans="8:8" ht="15" x14ac:dyDescent="0.25">
      <c r="H219" s="5"/>
    </row>
    <row r="220" spans="8:8" ht="15" x14ac:dyDescent="0.25">
      <c r="H220" s="5"/>
    </row>
    <row r="221" spans="8:8" ht="15" x14ac:dyDescent="0.25">
      <c r="H221" s="5"/>
    </row>
    <row r="222" spans="8:8" ht="15" x14ac:dyDescent="0.25">
      <c r="H222" s="5"/>
    </row>
    <row r="223" spans="8:8" ht="15" x14ac:dyDescent="0.25">
      <c r="H223" s="5"/>
    </row>
    <row r="224" spans="8:8" ht="15" x14ac:dyDescent="0.25">
      <c r="H224" s="5"/>
    </row>
    <row r="225" spans="8:8" ht="15" x14ac:dyDescent="0.25">
      <c r="H225" s="5"/>
    </row>
    <row r="226" spans="8:8" ht="15" x14ac:dyDescent="0.25">
      <c r="H226" s="5"/>
    </row>
    <row r="227" spans="8:8" ht="15" x14ac:dyDescent="0.25">
      <c r="H227" s="5"/>
    </row>
    <row r="228" spans="8:8" ht="15" x14ac:dyDescent="0.25">
      <c r="H228" s="5"/>
    </row>
    <row r="229" spans="8:8" ht="15" x14ac:dyDescent="0.25">
      <c r="H229" s="5"/>
    </row>
    <row r="230" spans="8:8" ht="15" x14ac:dyDescent="0.25">
      <c r="H230" s="5"/>
    </row>
    <row r="231" spans="8:8" ht="15" x14ac:dyDescent="0.25">
      <c r="H231" s="5"/>
    </row>
    <row r="232" spans="8:8" ht="15" x14ac:dyDescent="0.25">
      <c r="H232" s="5"/>
    </row>
    <row r="233" spans="8:8" ht="15" x14ac:dyDescent="0.25">
      <c r="H233" s="5"/>
    </row>
    <row r="234" spans="8:8" ht="15" x14ac:dyDescent="0.25">
      <c r="H234" s="5"/>
    </row>
    <row r="235" spans="8:8" ht="15" x14ac:dyDescent="0.25">
      <c r="H235" s="5"/>
    </row>
    <row r="236" spans="8:8" ht="15" x14ac:dyDescent="0.25">
      <c r="H236" s="5"/>
    </row>
  </sheetData>
  <mergeCells count="73">
    <mergeCell ref="AC2:AG2"/>
    <mergeCell ref="AC60:AG60"/>
    <mergeCell ref="C46:G46"/>
    <mergeCell ref="C45:G45"/>
    <mergeCell ref="C44:G44"/>
    <mergeCell ref="C30:G30"/>
    <mergeCell ref="C31:G31"/>
    <mergeCell ref="C32:G32"/>
    <mergeCell ref="C39:G39"/>
    <mergeCell ref="C37:G37"/>
    <mergeCell ref="C57:G57"/>
    <mergeCell ref="D11:G11"/>
    <mergeCell ref="D8:G8"/>
    <mergeCell ref="D10:G10"/>
    <mergeCell ref="D12:G12"/>
    <mergeCell ref="D14:G14"/>
    <mergeCell ref="C43:G43"/>
    <mergeCell ref="C6:P6"/>
    <mergeCell ref="D13:G13"/>
    <mergeCell ref="C59:G59"/>
    <mergeCell ref="C60:G60"/>
    <mergeCell ref="C53:G53"/>
    <mergeCell ref="C54:G54"/>
    <mergeCell ref="C56:G56"/>
    <mergeCell ref="C33:G33"/>
    <mergeCell ref="C24:G24"/>
    <mergeCell ref="C22:G22"/>
    <mergeCell ref="C21:G21"/>
    <mergeCell ref="C34:G34"/>
    <mergeCell ref="C23:G23"/>
    <mergeCell ref="D9:G9"/>
    <mergeCell ref="C25:G25"/>
    <mergeCell ref="C26:G26"/>
    <mergeCell ref="C35:G35"/>
    <mergeCell ref="C27:G27"/>
    <mergeCell ref="C29:G29"/>
    <mergeCell ref="C28:G28"/>
    <mergeCell ref="C61:G61"/>
    <mergeCell ref="C63:G63"/>
    <mergeCell ref="C65:G65"/>
    <mergeCell ref="C64:G64"/>
    <mergeCell ref="C66:G66"/>
    <mergeCell ref="C62:G62"/>
    <mergeCell ref="C85:G85"/>
    <mergeCell ref="J85:O85"/>
    <mergeCell ref="C83:G83"/>
    <mergeCell ref="C67:G67"/>
    <mergeCell ref="C69:G69"/>
    <mergeCell ref="C82:G82"/>
    <mergeCell ref="C84:G84"/>
    <mergeCell ref="C76:G76"/>
    <mergeCell ref="C77:G77"/>
    <mergeCell ref="J78:O78"/>
    <mergeCell ref="C78:G78"/>
    <mergeCell ref="C68:G68"/>
    <mergeCell ref="C70:G70"/>
    <mergeCell ref="C75:G75"/>
    <mergeCell ref="C55:G55"/>
    <mergeCell ref="C48:G48"/>
    <mergeCell ref="C49:G49"/>
    <mergeCell ref="AB3:AI3"/>
    <mergeCell ref="AC7:AG7"/>
    <mergeCell ref="AC8:AG8"/>
    <mergeCell ref="AC10:AG10"/>
    <mergeCell ref="AA38:AB38"/>
    <mergeCell ref="AC11:AG11"/>
    <mergeCell ref="AC18:AG18"/>
    <mergeCell ref="AC19:AG19"/>
    <mergeCell ref="AC20:AG20"/>
    <mergeCell ref="AC12:AG12"/>
    <mergeCell ref="AC13:AG13"/>
    <mergeCell ref="C3:P3"/>
    <mergeCell ref="C5:P5"/>
  </mergeCells>
  <conditionalFormatting sqref="I39">
    <cfRule type="expression" dxfId="45" priority="11">
      <formula>$H$37="Multiple Span"</formula>
    </cfRule>
  </conditionalFormatting>
  <conditionalFormatting sqref="C39:G39">
    <cfRule type="expression" dxfId="44" priority="10">
      <formula>$H$37="Multiple Span"</formula>
    </cfRule>
  </conditionalFormatting>
  <conditionalFormatting sqref="J78:O78">
    <cfRule type="expression" dxfId="43" priority="24">
      <formula>$AG$23=0</formula>
    </cfRule>
  </conditionalFormatting>
  <conditionalFormatting sqref="J85:O85">
    <cfRule type="expression" dxfId="42" priority="25">
      <formula>$AG$24=0</formula>
    </cfRule>
  </conditionalFormatting>
  <conditionalFormatting sqref="C48:G48">
    <cfRule type="expression" dxfId="41" priority="9">
      <formula>$AE$40=0</formula>
    </cfRule>
  </conditionalFormatting>
  <conditionalFormatting sqref="C49:G49">
    <cfRule type="expression" dxfId="40" priority="8">
      <formula>$AE$40=0</formula>
    </cfRule>
  </conditionalFormatting>
  <conditionalFormatting sqref="C56:G56">
    <cfRule type="expression" dxfId="39" priority="7">
      <formula>$H$55="No"</formula>
    </cfRule>
  </conditionalFormatting>
  <conditionalFormatting sqref="C57:G57">
    <cfRule type="expression" dxfId="38" priority="6">
      <formula>$H$55="No"</formula>
    </cfRule>
  </conditionalFormatting>
  <conditionalFormatting sqref="H56">
    <cfRule type="expression" dxfId="37" priority="5">
      <formula>$H$55="No"</formula>
    </cfRule>
  </conditionalFormatting>
  <conditionalFormatting sqref="H57">
    <cfRule type="expression" dxfId="36" priority="4">
      <formula>$H$55="No"</formula>
    </cfRule>
  </conditionalFormatting>
  <conditionalFormatting sqref="I56">
    <cfRule type="expression" dxfId="35" priority="3">
      <formula>$H$55="No"</formula>
    </cfRule>
  </conditionalFormatting>
  <conditionalFormatting sqref="I57">
    <cfRule type="expression" dxfId="34" priority="2">
      <formula>$H$55="No"</formula>
    </cfRule>
  </conditionalFormatting>
  <conditionalFormatting sqref="H39">
    <cfRule type="expression" dxfId="33" priority="1">
      <formula>$H$37="Multiple Span"</formula>
    </cfRule>
  </conditionalFormatting>
  <dataValidations count="14">
    <dataValidation type="decimal" operator="greaterThanOrEqual" allowBlank="1" showInputMessage="1" showErrorMessage="1" error=" Minimum wall thickness = 1.0 inch_x000a_" sqref="H54" xr:uid="{00000000-0002-0000-0000-000000000000}">
      <formula1>1</formula1>
    </dataValidation>
    <dataValidation type="decimal" operator="greaterThan" allowBlank="1" showInputMessage="1" showErrorMessage="1" error="Positive value only" sqref="H53 H70 H36 H58 U57 H30" xr:uid="{00000000-0002-0000-0000-000001000000}">
      <formula1>0</formula1>
    </dataValidation>
    <dataValidation type="decimal" allowBlank="1" showInputMessage="1" showErrorMessage="1" error="Value between 0 and wall thickness t" sqref="U56" xr:uid="{00000000-0002-0000-0000-000002000000}">
      <formula1>0</formula1>
      <formula2>H54</formula2>
    </dataValidation>
    <dataValidation type="decimal" operator="greaterThanOrEqual" allowBlank="1" showInputMessage="1" showErrorMessage="1" error="Positive value only" sqref="H31 H60:H69 H39 H21:H28 H35" xr:uid="{00000000-0002-0000-0000-000003000000}">
      <formula1>0</formula1>
    </dataValidation>
    <dataValidation type="decimal" operator="lessThanOrEqual" allowBlank="1" showInputMessage="1" showErrorMessage="1" error="Negative value only" sqref="H59" xr:uid="{00000000-0002-0000-0000-000004000000}">
      <formula1>0</formula1>
    </dataValidation>
    <dataValidation operator="greaterThan" allowBlank="1" showInputMessage="1" showErrorMessage="1" promptTitle="Select" sqref="H38" xr:uid="{00000000-0002-0000-0000-000005000000}"/>
    <dataValidation type="decimal" operator="greaterThanOrEqual" allowBlank="1" showInputMessage="1" showErrorMessage="1" error="Outside diameter O.D. cannot be smaller than inside Diameter Di" sqref="H32" xr:uid="{00000000-0002-0000-0000-000006000000}">
      <formula1>H29/12</formula1>
    </dataValidation>
    <dataValidation operator="greaterThanOrEqual" allowBlank="1" showInputMessage="1" showErrorMessage="1" sqref="H43" xr:uid="{00000000-0002-0000-0000-000007000000}"/>
    <dataValidation type="list" operator="greaterThan" allowBlank="1" showInputMessage="1" showErrorMessage="1" promptTitle="Select" sqref="H37" xr:uid="{00000000-0002-0000-0000-000008000000}">
      <formula1>$AC$23:$AC$24</formula1>
    </dataValidation>
    <dataValidation type="list" allowBlank="1" showInputMessage="1" showErrorMessage="1" sqref="D11:G11" xr:uid="{00000000-0002-0000-0000-000009000000}">
      <formula1>$AC$27:$AC$34</formula1>
    </dataValidation>
    <dataValidation type="list" operator="greaterThanOrEqual" allowBlank="1" showInputMessage="1" showErrorMessage="1" sqref="H33" xr:uid="{00000000-0002-0000-0000-00000A000000}">
      <formula1>$AC$41:$AC$45</formula1>
    </dataValidation>
    <dataValidation type="list" operator="greaterThanOrEqual" allowBlank="1" showInputMessage="1" showErrorMessage="1" sqref="H55" xr:uid="{00000000-0002-0000-0000-00000B000000}">
      <formula1>$AE$43:$AE$44</formula1>
    </dataValidation>
    <dataValidation type="decimal" allowBlank="1" showInputMessage="1" showErrorMessage="1" error="Value between 0 and depth of cover over culvert &quot;h&quot;" sqref="H34" xr:uid="{00000000-0002-0000-0000-00000C000000}">
      <formula1>0</formula1>
      <formula2>H23</formula2>
    </dataValidation>
    <dataValidation type="decimal" allowBlank="1" showInputMessage="1" showErrorMessage="1" error="Value between 0 and 120 in." sqref="H29" xr:uid="{00000000-0002-0000-0000-00000D000000}">
      <formula1>0</formula1>
      <formula2>120</formula2>
    </dataValidation>
  </dataValidations>
  <pageMargins left="0.7" right="0.7" top="0.75" bottom="0.75" header="0.3" footer="0.3"/>
  <pageSetup scale="33" orientation="portrait" r:id="rId1"/>
  <drawing r:id="rId2"/>
  <legacyDrawing r:id="rId3"/>
  <controls>
    <mc:AlternateContent xmlns:mc="http://schemas.openxmlformats.org/markup-compatibility/2006">
      <mc:Choice Requires="x14">
        <control shapeId="1026" r:id="rId4" name="CommandButton2">
          <controlPr defaultSize="0" autoLine="0" r:id="rId5">
            <anchor moveWithCells="1">
              <from>
                <xdr:col>6</xdr:col>
                <xdr:colOff>390525</xdr:colOff>
                <xdr:row>15</xdr:row>
                <xdr:rowOff>0</xdr:rowOff>
              </from>
              <to>
                <xdr:col>7</xdr:col>
                <xdr:colOff>0</xdr:colOff>
                <xdr:row>17</xdr:row>
                <xdr:rowOff>0</xdr:rowOff>
              </to>
            </anchor>
          </controlPr>
        </control>
      </mc:Choice>
      <mc:Fallback>
        <control shapeId="1026" r:id="rId4" name="CommandButton2"/>
      </mc:Fallback>
    </mc:AlternateContent>
    <mc:AlternateContent xmlns:mc="http://schemas.openxmlformats.org/markup-compatibility/2006">
      <mc:Choice Requires="x14">
        <control shapeId="1025" r:id="rId6" name="CommandButton1">
          <controlPr defaultSize="0" autoLine="0" r:id="rId7">
            <anchor moveWithCells="1">
              <from>
                <xdr:col>4</xdr:col>
                <xdr:colOff>19050</xdr:colOff>
                <xdr:row>15</xdr:row>
                <xdr:rowOff>0</xdr:rowOff>
              </from>
              <to>
                <xdr:col>5</xdr:col>
                <xdr:colOff>342900</xdr:colOff>
                <xdr:row>17</xdr:row>
                <xdr:rowOff>0</xdr:rowOff>
              </to>
            </anchor>
          </controlPr>
        </control>
      </mc:Choice>
      <mc:Fallback>
        <control shapeId="1025" r:id="rId6"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BB231"/>
  <sheetViews>
    <sheetView showGridLines="0" zoomScaleNormal="100" zoomScaleSheetLayoutView="55" workbookViewId="0">
      <selection activeCell="A22" sqref="A22"/>
    </sheetView>
  </sheetViews>
  <sheetFormatPr defaultRowHeight="14.25" x14ac:dyDescent="0.2"/>
  <cols>
    <col min="1" max="1" width="9.140625" style="4"/>
    <col min="2" max="2" width="3.7109375" style="4" customWidth="1"/>
    <col min="3" max="3" width="11.5703125" style="4" customWidth="1"/>
    <col min="4" max="6" width="9.140625" style="4"/>
    <col min="7" max="7" width="20.140625" style="4" customWidth="1"/>
    <col min="8" max="8" width="17.5703125" style="4" bestFit="1" customWidth="1"/>
    <col min="9" max="9" width="9.28515625" style="78" bestFit="1" customWidth="1"/>
    <col min="10" max="16" width="9.140625" style="4"/>
    <col min="17" max="17" width="3.7109375" style="4" customWidth="1"/>
    <col min="18" max="18" width="9.140625" style="4"/>
    <col min="19" max="54" width="9.140625" style="4" hidden="1" customWidth="1"/>
    <col min="55" max="16384" width="9.140625" style="4"/>
  </cols>
  <sheetData>
    <row r="1" spans="2:52" ht="15" thickBot="1" x14ac:dyDescent="0.25"/>
    <row r="2" spans="2:52" ht="30" customHeight="1" thickBot="1" x14ac:dyDescent="0.3">
      <c r="B2" s="7"/>
      <c r="C2" s="8"/>
      <c r="D2" s="8"/>
      <c r="E2" s="8"/>
      <c r="F2" s="8"/>
      <c r="G2" s="8"/>
      <c r="H2" s="8"/>
      <c r="I2" s="79"/>
      <c r="J2" s="8"/>
      <c r="K2" s="8"/>
      <c r="L2" s="8"/>
      <c r="M2" s="8"/>
      <c r="N2" s="8"/>
      <c r="O2" s="8"/>
      <c r="P2" s="8"/>
      <c r="Q2" s="9"/>
      <c r="AA2"/>
      <c r="AB2"/>
      <c r="AC2"/>
      <c r="AD2"/>
      <c r="AE2"/>
      <c r="AF2"/>
      <c r="AG2"/>
      <c r="AH2" s="2"/>
      <c r="AI2"/>
      <c r="AJ2"/>
      <c r="AK2"/>
      <c r="AL2"/>
      <c r="AM2"/>
      <c r="AN2"/>
      <c r="AO2"/>
      <c r="AQ2" s="46" t="s">
        <v>30</v>
      </c>
      <c r="AR2" s="46" t="s">
        <v>31</v>
      </c>
      <c r="AS2" s="46" t="s">
        <v>118</v>
      </c>
      <c r="AT2" s="46" t="s">
        <v>115</v>
      </c>
      <c r="AU2" s="46" t="s">
        <v>117</v>
      </c>
      <c r="AV2" s="46" t="s">
        <v>116</v>
      </c>
      <c r="AW2"/>
      <c r="AX2"/>
      <c r="AY2"/>
      <c r="AZ2"/>
    </row>
    <row r="3" spans="2:52" ht="21" thickBot="1" x14ac:dyDescent="0.35">
      <c r="B3" s="10"/>
      <c r="C3" s="142" t="s">
        <v>0</v>
      </c>
      <c r="D3" s="143"/>
      <c r="E3" s="143"/>
      <c r="F3" s="143"/>
      <c r="G3" s="143"/>
      <c r="H3" s="143"/>
      <c r="I3" s="143"/>
      <c r="J3" s="143"/>
      <c r="K3" s="143"/>
      <c r="L3" s="143"/>
      <c r="M3" s="143"/>
      <c r="N3" s="143"/>
      <c r="O3" s="143"/>
      <c r="P3" s="144"/>
      <c r="Q3" s="11"/>
      <c r="AA3"/>
      <c r="AB3" s="127" t="s">
        <v>25</v>
      </c>
      <c r="AC3" s="128"/>
      <c r="AD3" s="128"/>
      <c r="AE3" s="128"/>
      <c r="AF3" s="128"/>
      <c r="AG3" s="128"/>
      <c r="AH3" s="128"/>
      <c r="AI3" s="129"/>
      <c r="AJ3"/>
      <c r="AK3"/>
      <c r="AL3"/>
      <c r="AM3"/>
      <c r="AN3"/>
      <c r="AO3"/>
      <c r="AQ3" s="47" t="s">
        <v>32</v>
      </c>
      <c r="AR3" s="47">
        <v>1.1000000000000001</v>
      </c>
      <c r="AS3" s="48">
        <v>4.125</v>
      </c>
      <c r="AT3" s="48">
        <v>8.625</v>
      </c>
      <c r="AU3" s="48">
        <v>3.5</v>
      </c>
      <c r="AV3" s="48">
        <v>25.625</v>
      </c>
      <c r="AW3"/>
      <c r="AX3" s="47">
        <v>17</v>
      </c>
      <c r="AY3" s="47">
        <v>13</v>
      </c>
      <c r="AZ3"/>
    </row>
    <row r="4" spans="2:52" ht="20.100000000000001" customHeight="1" thickBot="1" x14ac:dyDescent="0.3">
      <c r="B4" s="10"/>
      <c r="C4" s="12"/>
      <c r="D4" s="12"/>
      <c r="E4" s="12"/>
      <c r="F4" s="12"/>
      <c r="G4" s="12"/>
      <c r="H4" s="12"/>
      <c r="I4" s="76"/>
      <c r="J4" s="12"/>
      <c r="K4" s="12"/>
      <c r="L4" s="12"/>
      <c r="M4" s="12"/>
      <c r="N4" s="12"/>
      <c r="O4" s="12"/>
      <c r="P4" s="12"/>
      <c r="Q4" s="11"/>
      <c r="AA4"/>
      <c r="AB4" s="24"/>
      <c r="AC4" s="25"/>
      <c r="AD4" s="25"/>
      <c r="AE4" s="25"/>
      <c r="AF4" s="25"/>
      <c r="AG4" s="25"/>
      <c r="AH4" s="26"/>
      <c r="AI4" s="27"/>
      <c r="AJ4"/>
      <c r="AK4"/>
      <c r="AL4"/>
      <c r="AM4"/>
      <c r="AN4"/>
      <c r="AO4"/>
      <c r="AQ4" s="47" t="s">
        <v>33</v>
      </c>
      <c r="AR4" s="47">
        <v>1.6</v>
      </c>
      <c r="AS4" s="48">
        <v>4.875</v>
      </c>
      <c r="AT4" s="48">
        <v>10.75</v>
      </c>
      <c r="AU4" s="48">
        <v>4.125</v>
      </c>
      <c r="AV4" s="48">
        <v>33.125</v>
      </c>
      <c r="AW4"/>
      <c r="AX4" s="47">
        <v>21</v>
      </c>
      <c r="AY4" s="47">
        <v>15</v>
      </c>
      <c r="AZ4"/>
    </row>
    <row r="5" spans="2:52" ht="20.100000000000001" customHeight="1" thickBot="1" x14ac:dyDescent="0.3">
      <c r="B5" s="10"/>
      <c r="C5" s="208" t="s">
        <v>133</v>
      </c>
      <c r="D5" s="209"/>
      <c r="E5" s="209"/>
      <c r="F5" s="209"/>
      <c r="G5" s="209"/>
      <c r="H5" s="209"/>
      <c r="I5" s="209"/>
      <c r="J5" s="209"/>
      <c r="K5" s="209"/>
      <c r="L5" s="209"/>
      <c r="M5" s="209"/>
      <c r="N5" s="209"/>
      <c r="O5" s="209"/>
      <c r="P5" s="210"/>
      <c r="Q5" s="11"/>
      <c r="AA5"/>
      <c r="AB5" s="31"/>
      <c r="AC5" s="34" t="s">
        <v>3</v>
      </c>
      <c r="AD5" s="28"/>
      <c r="AE5" s="28"/>
      <c r="AF5" s="28"/>
      <c r="AG5" s="28"/>
      <c r="AH5" s="29"/>
      <c r="AI5" s="30"/>
      <c r="AJ5"/>
      <c r="AK5"/>
      <c r="AL5"/>
      <c r="AM5"/>
      <c r="AN5"/>
      <c r="AO5"/>
      <c r="AQ5" s="47" t="s">
        <v>34</v>
      </c>
      <c r="AR5" s="47">
        <v>1.7</v>
      </c>
      <c r="AS5" s="48">
        <v>5.125</v>
      </c>
      <c r="AT5" s="48">
        <v>10.25</v>
      </c>
      <c r="AU5" s="47">
        <v>5</v>
      </c>
      <c r="AV5" s="48">
        <v>27.5</v>
      </c>
      <c r="AW5"/>
      <c r="AX5" s="47">
        <v>20</v>
      </c>
      <c r="AY5" s="47">
        <v>16</v>
      </c>
      <c r="AZ5"/>
    </row>
    <row r="6" spans="2:52" ht="20.100000000000001" customHeight="1" thickBot="1" x14ac:dyDescent="0.3">
      <c r="B6" s="10"/>
      <c r="C6" s="204" t="s">
        <v>104</v>
      </c>
      <c r="D6" s="205"/>
      <c r="E6" s="205"/>
      <c r="F6" s="205"/>
      <c r="G6" s="205"/>
      <c r="H6" s="205"/>
      <c r="I6" s="205"/>
      <c r="J6" s="205"/>
      <c r="K6" s="205"/>
      <c r="L6" s="205"/>
      <c r="M6" s="205"/>
      <c r="N6" s="205"/>
      <c r="O6" s="205"/>
      <c r="P6" s="206"/>
      <c r="Q6" s="11"/>
      <c r="AA6"/>
      <c r="AB6" s="31"/>
      <c r="AC6" s="28"/>
      <c r="AD6" s="28"/>
      <c r="AE6" s="28"/>
      <c r="AF6" s="28"/>
      <c r="AG6" s="28"/>
      <c r="AH6" s="29"/>
      <c r="AI6" s="30"/>
      <c r="AJ6"/>
      <c r="AK6"/>
      <c r="AL6"/>
      <c r="AM6"/>
      <c r="AN6"/>
      <c r="AO6"/>
      <c r="AQ6" s="47" t="s">
        <v>35</v>
      </c>
      <c r="AR6" s="47">
        <v>2.2999999999999998</v>
      </c>
      <c r="AS6" s="48">
        <v>5.875</v>
      </c>
      <c r="AT6" s="48">
        <v>11.625</v>
      </c>
      <c r="AU6" s="48">
        <v>5.375</v>
      </c>
      <c r="AV6" s="48">
        <v>34.25</v>
      </c>
      <c r="AW6"/>
      <c r="AX6" s="47">
        <v>23</v>
      </c>
      <c r="AY6" s="47">
        <v>19</v>
      </c>
      <c r="AZ6"/>
    </row>
    <row r="7" spans="2:52" ht="15.75" thickBot="1" x14ac:dyDescent="0.3">
      <c r="B7" s="10"/>
      <c r="C7" s="12"/>
      <c r="D7" s="12"/>
      <c r="E7" s="12"/>
      <c r="F7" s="12"/>
      <c r="G7" s="12"/>
      <c r="H7" s="12"/>
      <c r="I7" s="76"/>
      <c r="J7" s="12"/>
      <c r="K7" s="12"/>
      <c r="L7" s="12"/>
      <c r="M7" s="12"/>
      <c r="N7" s="12"/>
      <c r="O7" s="12"/>
      <c r="P7" s="12"/>
      <c r="Q7" s="11"/>
      <c r="AA7"/>
      <c r="AB7" s="31"/>
      <c r="AC7" s="192" t="s">
        <v>4</v>
      </c>
      <c r="AD7" s="192"/>
      <c r="AE7" s="192"/>
      <c r="AF7" s="192"/>
      <c r="AG7" s="193"/>
      <c r="AH7" s="37">
        <f>MAX((1+0.33*((96-'Arch Pipe - Ciment.'!H30)/96)),1)</f>
        <v>1.2475000000000001</v>
      </c>
      <c r="AI7" s="30"/>
      <c r="AJ7"/>
      <c r="AK7"/>
      <c r="AL7"/>
      <c r="AM7"/>
      <c r="AN7">
        <v>1.2475000000000001</v>
      </c>
      <c r="AO7"/>
      <c r="AQ7" s="47" t="s">
        <v>36</v>
      </c>
      <c r="AR7" s="47">
        <v>2.2000000000000002</v>
      </c>
      <c r="AS7" s="48">
        <v>5.625</v>
      </c>
      <c r="AT7" s="48">
        <v>11.875</v>
      </c>
      <c r="AU7" s="48">
        <v>4.875</v>
      </c>
      <c r="AV7" s="48">
        <v>34.625</v>
      </c>
      <c r="AW7"/>
      <c r="AX7" s="47">
        <v>24</v>
      </c>
      <c r="AY7" s="47">
        <v>18</v>
      </c>
      <c r="AZ7"/>
    </row>
    <row r="8" spans="2:52" ht="15.75" thickBot="1" x14ac:dyDescent="0.3">
      <c r="B8" s="10"/>
      <c r="C8" s="74" t="s">
        <v>65</v>
      </c>
      <c r="D8" s="207"/>
      <c r="E8" s="173"/>
      <c r="F8" s="173"/>
      <c r="G8" s="174"/>
      <c r="H8" s="12"/>
      <c r="I8" s="76"/>
      <c r="J8" s="12"/>
      <c r="K8" s="12"/>
      <c r="L8" s="12"/>
      <c r="M8" s="12"/>
      <c r="N8" s="12"/>
      <c r="O8" s="12"/>
      <c r="P8" s="12"/>
      <c r="Q8" s="11"/>
      <c r="AA8"/>
      <c r="AB8" s="31"/>
      <c r="AC8" s="194" t="s">
        <v>6</v>
      </c>
      <c r="AD8" s="192"/>
      <c r="AE8" s="192"/>
      <c r="AF8" s="192"/>
      <c r="AG8" s="193"/>
      <c r="AH8" s="37">
        <f>AH67</f>
        <v>37.599999999999994</v>
      </c>
      <c r="AI8" s="30"/>
      <c r="AJ8"/>
      <c r="AK8"/>
      <c r="AL8"/>
      <c r="AM8"/>
      <c r="AN8">
        <v>37.599999999999994</v>
      </c>
      <c r="AO8"/>
      <c r="AQ8" s="47" t="s">
        <v>37</v>
      </c>
      <c r="AR8" s="47">
        <v>3</v>
      </c>
      <c r="AS8" s="48">
        <v>6.75</v>
      </c>
      <c r="AT8" s="48">
        <v>13.5</v>
      </c>
      <c r="AU8" s="48">
        <v>5.75</v>
      </c>
      <c r="AV8" s="48">
        <v>40.875</v>
      </c>
      <c r="AW8"/>
      <c r="AX8" s="47">
        <v>27</v>
      </c>
      <c r="AY8" s="47">
        <v>21</v>
      </c>
      <c r="AZ8"/>
    </row>
    <row r="9" spans="2:52" ht="15.75" thickBot="1" x14ac:dyDescent="0.3">
      <c r="B9" s="10"/>
      <c r="C9" s="74" t="s">
        <v>138</v>
      </c>
      <c r="D9" s="207"/>
      <c r="E9" s="173"/>
      <c r="F9" s="173"/>
      <c r="G9" s="174"/>
      <c r="H9" s="12"/>
      <c r="I9" s="76"/>
      <c r="J9" s="12"/>
      <c r="K9" s="12"/>
      <c r="L9" s="12"/>
      <c r="M9" s="12"/>
      <c r="N9" s="12"/>
      <c r="O9" s="12"/>
      <c r="P9" s="12"/>
      <c r="Q9" s="11"/>
      <c r="AA9"/>
      <c r="AB9" s="31"/>
      <c r="AC9" s="109"/>
      <c r="AD9" s="107"/>
      <c r="AE9" s="107"/>
      <c r="AF9" s="107"/>
      <c r="AG9" s="108"/>
      <c r="AH9" s="37"/>
      <c r="AI9" s="30"/>
      <c r="AJ9"/>
      <c r="AK9"/>
      <c r="AL9"/>
      <c r="AM9"/>
      <c r="AN9"/>
      <c r="AO9"/>
      <c r="AQ9" s="47" t="s">
        <v>38</v>
      </c>
      <c r="AR9" s="47">
        <v>2.9</v>
      </c>
      <c r="AS9" s="48">
        <v>6.5</v>
      </c>
      <c r="AT9" s="47">
        <v>14</v>
      </c>
      <c r="AU9" s="48">
        <v>5.5</v>
      </c>
      <c r="AV9" s="48">
        <v>42.25</v>
      </c>
      <c r="AW9"/>
      <c r="AX9" s="47">
        <v>28</v>
      </c>
      <c r="AY9" s="47">
        <v>20</v>
      </c>
      <c r="AZ9"/>
    </row>
    <row r="10" spans="2:52" ht="17.25" thickBot="1" x14ac:dyDescent="0.4">
      <c r="B10" s="10"/>
      <c r="C10" s="74" t="s">
        <v>1</v>
      </c>
      <c r="D10" s="207"/>
      <c r="E10" s="173"/>
      <c r="F10" s="173"/>
      <c r="G10" s="174"/>
      <c r="H10" s="12"/>
      <c r="I10" s="76"/>
      <c r="J10" s="12"/>
      <c r="K10" s="12"/>
      <c r="L10" s="12"/>
      <c r="M10" s="12"/>
      <c r="N10" s="12"/>
      <c r="O10" s="12"/>
      <c r="P10" s="12"/>
      <c r="Q10" s="11"/>
      <c r="AA10"/>
      <c r="AB10" s="31"/>
      <c r="AC10" s="194" t="s">
        <v>8</v>
      </c>
      <c r="AD10" s="192"/>
      <c r="AE10" s="192"/>
      <c r="AF10" s="192"/>
      <c r="AG10" s="193"/>
      <c r="AH10" s="37">
        <f>('Arch Pipe - Ciment.'!H34-'Arch Pipe - Ciment.'!H33-0.06*'Arch Pipe - Ciment.'!H36)/'Arch Pipe - Ciment.'!H31</f>
        <v>41.513043478260876</v>
      </c>
      <c r="AI10" s="30"/>
      <c r="AJ10"/>
      <c r="AK10"/>
      <c r="AL10"/>
      <c r="AM10"/>
      <c r="AN10">
        <v>41.513043478260876</v>
      </c>
      <c r="AO10"/>
      <c r="AQ10" s="47" t="s">
        <v>39</v>
      </c>
      <c r="AR10" s="47">
        <v>4.7</v>
      </c>
      <c r="AS10" s="48">
        <v>8.75</v>
      </c>
      <c r="AT10" s="48">
        <v>16.625</v>
      </c>
      <c r="AU10" s="48">
        <v>7.125</v>
      </c>
      <c r="AV10" s="48">
        <v>51.375</v>
      </c>
      <c r="AW10"/>
      <c r="AX10" s="47">
        <v>33</v>
      </c>
      <c r="AY10" s="47">
        <v>26</v>
      </c>
      <c r="AZ10"/>
    </row>
    <row r="11" spans="2:52" ht="15" customHeight="1" thickBot="1" x14ac:dyDescent="0.3">
      <c r="B11" s="10"/>
      <c r="C11" s="74" t="s">
        <v>93</v>
      </c>
      <c r="D11" s="207" t="s">
        <v>94</v>
      </c>
      <c r="E11" s="173"/>
      <c r="F11" s="173"/>
      <c r="G11" s="174"/>
      <c r="H11" s="12"/>
      <c r="I11" s="76"/>
      <c r="J11" s="12"/>
      <c r="K11" s="12"/>
      <c r="L11" s="12"/>
      <c r="M11" s="12"/>
      <c r="N11" s="12"/>
      <c r="O11" s="12"/>
      <c r="P11" s="12"/>
      <c r="Q11" s="11"/>
      <c r="AA11"/>
      <c r="AB11" s="31"/>
      <c r="AC11" s="194" t="s">
        <v>7</v>
      </c>
      <c r="AD11" s="192"/>
      <c r="AE11" s="192"/>
      <c r="AF11" s="192"/>
      <c r="AG11" s="193"/>
      <c r="AH11" s="37">
        <f>IF('Arch Pipe - Ciment.'!H30&lt;'Arch Pipe - Ciment.'!AH10,'Arch Pipe - Ciment.'!H33+'Arch Pipe - Ciment.'!H31*'Arch Pipe - Ciment.'!H30+0.06*'Arch Pipe - Ciment.'!H36,(('Arch Pipe - Ciment.'!H33+'Arch Pipe - Ciment.'!H34+'Arch Pipe - Ciment.'!H31*'Arch Pipe - Ciment.'!H30)+0.06*'Arch Pipe - Ciment.'!H36))</f>
        <v>51.859999999999992</v>
      </c>
      <c r="AI11" s="30"/>
      <c r="AJ11"/>
      <c r="AK11"/>
      <c r="AL11"/>
      <c r="AM11"/>
      <c r="AN11">
        <v>51.859999999999992</v>
      </c>
      <c r="AO11"/>
      <c r="AQ11" s="47" t="s">
        <v>40</v>
      </c>
      <c r="AR11" s="47">
        <v>4.5</v>
      </c>
      <c r="AS11" s="48">
        <v>8.125</v>
      </c>
      <c r="AT11" s="48">
        <v>17.875</v>
      </c>
      <c r="AU11" s="48">
        <v>6.875</v>
      </c>
      <c r="AV11" s="48">
        <v>55.125</v>
      </c>
      <c r="AW11"/>
      <c r="AX11" s="47">
        <v>35</v>
      </c>
      <c r="AY11" s="47">
        <v>24</v>
      </c>
      <c r="AZ11"/>
    </row>
    <row r="12" spans="2:52" ht="15" customHeight="1" thickBot="1" x14ac:dyDescent="0.3">
      <c r="B12" s="10"/>
      <c r="C12" s="74" t="s">
        <v>95</v>
      </c>
      <c r="D12" s="207"/>
      <c r="E12" s="173"/>
      <c r="F12" s="173"/>
      <c r="G12" s="174"/>
      <c r="H12" s="12"/>
      <c r="I12" s="76"/>
      <c r="J12" s="12"/>
      <c r="K12" s="12"/>
      <c r="L12" s="12"/>
      <c r="M12" s="12"/>
      <c r="N12" s="12"/>
      <c r="O12" s="12"/>
      <c r="P12" s="12"/>
      <c r="Q12" s="11"/>
      <c r="AA12" s="84">
        <f>IF('Arch Pipe - Ciment.'!H30/12&lt;'Arch Pipe - Ciment.'!H39,'Arch Pipe - Ciment.'!H30/12,'Arch Pipe - Ciment.'!H39)</f>
        <v>2</v>
      </c>
      <c r="AB12" s="31"/>
      <c r="AC12" s="134" t="s">
        <v>12</v>
      </c>
      <c r="AD12" s="135"/>
      <c r="AE12" s="135"/>
      <c r="AF12" s="135"/>
      <c r="AG12" s="136"/>
      <c r="AH12" s="37">
        <f>'Arch Pipe - Ciment.'!H50*('Arch Pipe - Ciment.'!H37*AA12-2*'Arch Pipe - Ciment.'!H38)/144</f>
        <v>0.52827823085194259</v>
      </c>
      <c r="AI12" s="30"/>
      <c r="AJ12"/>
      <c r="AK12"/>
      <c r="AL12"/>
      <c r="AM12"/>
      <c r="AN12">
        <v>4.9305555555555554</v>
      </c>
      <c r="AO12"/>
      <c r="AQ12" s="47" t="s">
        <v>41</v>
      </c>
      <c r="AR12" s="47">
        <v>6.7</v>
      </c>
      <c r="AS12" s="48">
        <v>10.375</v>
      </c>
      <c r="AT12" s="48">
        <v>20.25</v>
      </c>
      <c r="AU12" s="48">
        <v>8.375</v>
      </c>
      <c r="AV12" s="48">
        <v>62.5</v>
      </c>
      <c r="AW12"/>
      <c r="AX12" s="47">
        <v>40</v>
      </c>
      <c r="AY12" s="47">
        <v>31</v>
      </c>
      <c r="AZ12"/>
    </row>
    <row r="13" spans="2:52" ht="15" customHeight="1" thickBot="1" x14ac:dyDescent="0.3">
      <c r="B13" s="10"/>
      <c r="C13" s="74" t="s">
        <v>96</v>
      </c>
      <c r="D13" s="207"/>
      <c r="E13" s="173"/>
      <c r="F13" s="173"/>
      <c r="G13" s="174"/>
      <c r="H13" s="12"/>
      <c r="I13" s="76"/>
      <c r="J13" s="12"/>
      <c r="K13" s="12"/>
      <c r="L13" s="12"/>
      <c r="M13" s="12"/>
      <c r="N13" s="12"/>
      <c r="O13" s="12"/>
      <c r="P13" s="12"/>
      <c r="Q13" s="11"/>
      <c r="AA13"/>
      <c r="AB13" s="31"/>
      <c r="AC13" s="134" t="s">
        <v>13</v>
      </c>
      <c r="AD13" s="135"/>
      <c r="AE13" s="135"/>
      <c r="AF13" s="135"/>
      <c r="AG13" s="136"/>
      <c r="AH13" s="37">
        <f>(('Arch Pipe - Ciment.'!H50*AA12-'Arch Pipe - Ciment.'!H41)*'Arch Pipe - Ciment.'!H37+'Arch Pipe - Ciment.'!H41*('Arch Pipe - Ciment.'!H37-62.4))/144</f>
        <v>0.52827823085194259</v>
      </c>
      <c r="AI13" s="30"/>
      <c r="AJ13"/>
      <c r="AK13"/>
      <c r="AL13"/>
      <c r="AM13"/>
      <c r="AN13">
        <v>4.9305555555555554</v>
      </c>
      <c r="AO13"/>
      <c r="AQ13" s="47" t="s">
        <v>42</v>
      </c>
      <c r="AR13" s="47">
        <v>6.5</v>
      </c>
      <c r="AS13" s="48">
        <v>9.75</v>
      </c>
      <c r="AT13" s="48">
        <v>21.5</v>
      </c>
      <c r="AU13" s="48">
        <v>8.25</v>
      </c>
      <c r="AV13" s="48">
        <v>66.125</v>
      </c>
      <c r="AW13"/>
      <c r="AX13" s="47">
        <v>42</v>
      </c>
      <c r="AY13" s="47">
        <v>29</v>
      </c>
      <c r="AZ13"/>
    </row>
    <row r="14" spans="2:52" ht="18.75" thickBot="1" x14ac:dyDescent="0.4">
      <c r="B14" s="10"/>
      <c r="C14" s="74" t="s">
        <v>2</v>
      </c>
      <c r="D14" s="207"/>
      <c r="E14" s="173"/>
      <c r="F14" s="173"/>
      <c r="G14" s="174"/>
      <c r="H14" s="12"/>
      <c r="I14" s="76"/>
      <c r="J14" s="12"/>
      <c r="K14" s="12"/>
      <c r="L14" s="12"/>
      <c r="M14" s="12"/>
      <c r="N14" s="12"/>
      <c r="O14" s="12"/>
      <c r="P14" s="12"/>
      <c r="Q14" s="11"/>
      <c r="AA14"/>
      <c r="AB14" s="31"/>
      <c r="AC14" s="28" t="s">
        <v>14</v>
      </c>
      <c r="AD14" s="28"/>
      <c r="AE14" s="28"/>
      <c r="AF14" s="28"/>
      <c r="AG14" s="28"/>
      <c r="AH14" s="37">
        <f>0.433*('Arch Pipe - Ciment.'!H41+'Arch Pipe - Ciment.'!H42)</f>
        <v>1.6959166666666665</v>
      </c>
      <c r="AI14" s="30"/>
      <c r="AJ14"/>
      <c r="AK14"/>
      <c r="AL14"/>
      <c r="AM14"/>
      <c r="AN14">
        <v>1.6959166666666665</v>
      </c>
      <c r="AO14"/>
      <c r="AQ14" s="47" t="s">
        <v>43</v>
      </c>
      <c r="AR14" s="47">
        <v>9.1999999999999993</v>
      </c>
      <c r="AS14" s="48">
        <v>12.375</v>
      </c>
      <c r="AT14" s="48">
        <v>23.25</v>
      </c>
      <c r="AU14" s="48">
        <v>9.75</v>
      </c>
      <c r="AV14" s="47">
        <v>73</v>
      </c>
      <c r="AW14"/>
      <c r="AX14" s="47">
        <v>46</v>
      </c>
      <c r="AY14" s="47">
        <v>36</v>
      </c>
      <c r="AZ14"/>
    </row>
    <row r="15" spans="2:52" ht="15.75" thickBot="1" x14ac:dyDescent="0.3">
      <c r="B15" s="10"/>
      <c r="C15" s="12"/>
      <c r="D15" s="12"/>
      <c r="E15" s="12"/>
      <c r="F15" s="12"/>
      <c r="G15" s="12"/>
      <c r="H15" s="12"/>
      <c r="I15" s="76"/>
      <c r="J15" s="12"/>
      <c r="K15" s="12"/>
      <c r="L15" s="12"/>
      <c r="M15" s="12"/>
      <c r="N15" s="12"/>
      <c r="O15" s="12"/>
      <c r="P15" s="12"/>
      <c r="Q15" s="11"/>
      <c r="AA15"/>
      <c r="AB15" s="31"/>
      <c r="AC15" s="28"/>
      <c r="AD15" s="28"/>
      <c r="AE15" s="28"/>
      <c r="AF15" s="28"/>
      <c r="AG15" s="28"/>
      <c r="AH15" s="29"/>
      <c r="AI15" s="30"/>
      <c r="AJ15"/>
      <c r="AK15"/>
      <c r="AL15"/>
      <c r="AM15"/>
      <c r="AN15"/>
      <c r="AO15"/>
      <c r="AQ15" s="47" t="s">
        <v>44</v>
      </c>
      <c r="AR15" s="47">
        <v>8.9</v>
      </c>
      <c r="AS15" s="48">
        <v>11.375</v>
      </c>
      <c r="AT15" s="48">
        <v>25.125</v>
      </c>
      <c r="AU15" s="48">
        <v>9.625</v>
      </c>
      <c r="AV15" s="48">
        <v>77.25</v>
      </c>
      <c r="AW15"/>
      <c r="AX15" s="47">
        <v>49</v>
      </c>
      <c r="AY15" s="47">
        <v>33</v>
      </c>
      <c r="AZ15"/>
    </row>
    <row r="16" spans="2:52" ht="15.75" thickBot="1" x14ac:dyDescent="0.3">
      <c r="B16" s="10"/>
      <c r="C16" s="103" t="s">
        <v>131</v>
      </c>
      <c r="D16" s="12"/>
      <c r="E16" s="12"/>
      <c r="F16" s="12"/>
      <c r="G16" s="12"/>
      <c r="H16" s="12"/>
      <c r="I16" s="76"/>
      <c r="J16" s="12"/>
      <c r="K16" s="12"/>
      <c r="L16" s="12"/>
      <c r="M16" s="12"/>
      <c r="N16" s="12"/>
      <c r="O16" s="12"/>
      <c r="P16" s="12"/>
      <c r="Q16" s="11"/>
      <c r="AA16"/>
      <c r="AB16" s="31"/>
      <c r="AC16" s="34" t="s">
        <v>18</v>
      </c>
      <c r="AD16" s="28"/>
      <c r="AE16" s="28"/>
      <c r="AF16" s="28"/>
      <c r="AG16" s="28"/>
      <c r="AH16" s="29"/>
      <c r="AI16" s="30"/>
      <c r="AJ16"/>
      <c r="AK16"/>
      <c r="AL16"/>
      <c r="AM16"/>
      <c r="AN16"/>
      <c r="AO16"/>
      <c r="AQ16" s="47" t="s">
        <v>45</v>
      </c>
      <c r="AR16" s="47">
        <v>11.7</v>
      </c>
      <c r="AS16" s="48">
        <v>15.25</v>
      </c>
      <c r="AT16" s="49">
        <v>28.0625</v>
      </c>
      <c r="AU16" s="49">
        <v>10.1875</v>
      </c>
      <c r="AV16" s="49">
        <v>73.4375</v>
      </c>
      <c r="AW16"/>
      <c r="AX16" s="47">
        <v>53</v>
      </c>
      <c r="AY16" s="47">
        <v>41</v>
      </c>
      <c r="AZ16"/>
    </row>
    <row r="17" spans="2:52" ht="15.75" thickBot="1" x14ac:dyDescent="0.3">
      <c r="B17" s="10"/>
      <c r="C17" s="1" t="s">
        <v>132</v>
      </c>
      <c r="D17" s="12"/>
      <c r="E17" s="12"/>
      <c r="F17" s="12"/>
      <c r="G17" s="12"/>
      <c r="H17" s="12"/>
      <c r="I17" s="76"/>
      <c r="J17" s="12"/>
      <c r="K17" s="12"/>
      <c r="L17" s="12"/>
      <c r="M17" s="12"/>
      <c r="N17" s="12"/>
      <c r="O17" s="12"/>
      <c r="P17" s="12"/>
      <c r="Q17" s="11"/>
      <c r="AA17"/>
      <c r="AB17" s="31"/>
      <c r="AC17" s="28"/>
      <c r="AD17" s="28"/>
      <c r="AE17" s="28"/>
      <c r="AF17" s="28"/>
      <c r="AG17" s="28"/>
      <c r="AH17" s="29"/>
      <c r="AI17" s="30"/>
      <c r="AJ17"/>
      <c r="AK17"/>
      <c r="AL17"/>
      <c r="AM17"/>
      <c r="AN17"/>
      <c r="AO17"/>
      <c r="AQ17" s="47" t="s">
        <v>46</v>
      </c>
      <c r="AR17" s="47">
        <v>11.6</v>
      </c>
      <c r="AS17" s="47">
        <v>13</v>
      </c>
      <c r="AT17" s="48">
        <v>28.625</v>
      </c>
      <c r="AU17" s="47">
        <v>11</v>
      </c>
      <c r="AV17" s="48">
        <v>88.25</v>
      </c>
      <c r="AW17"/>
      <c r="AX17" s="47">
        <v>57</v>
      </c>
      <c r="AY17" s="47">
        <v>38</v>
      </c>
      <c r="AZ17"/>
    </row>
    <row r="18" spans="2:52" ht="15.75" thickBot="1" x14ac:dyDescent="0.3">
      <c r="B18" s="10"/>
      <c r="C18" s="12"/>
      <c r="D18" s="12"/>
      <c r="E18" s="12"/>
      <c r="F18" s="12"/>
      <c r="G18" s="12"/>
      <c r="H18" s="12"/>
      <c r="I18" s="76"/>
      <c r="J18" s="12"/>
      <c r="K18" s="12"/>
      <c r="L18" s="12"/>
      <c r="M18" s="12"/>
      <c r="N18" s="12"/>
      <c r="O18" s="12"/>
      <c r="P18" s="12"/>
      <c r="Q18" s="11"/>
      <c r="AA18"/>
      <c r="AB18" s="31"/>
      <c r="AC18" s="134" t="s">
        <v>19</v>
      </c>
      <c r="AD18" s="135"/>
      <c r="AE18" s="135"/>
      <c r="AF18" s="135"/>
      <c r="AG18" s="136"/>
      <c r="AH18" s="37">
        <f>IF('Arch Pipe - Ciment.'!H41=0,'Arch Pipe - Ciment.'!AH12,'Arch Pipe - Ciment.'!AH13)</f>
        <v>0.52827823085194259</v>
      </c>
      <c r="AI18" s="30"/>
      <c r="AJ18"/>
      <c r="AK18"/>
      <c r="AL18"/>
      <c r="AM18"/>
      <c r="AN18">
        <v>4.9305555555555554</v>
      </c>
      <c r="AO18"/>
      <c r="AQ18" s="47" t="s">
        <v>47</v>
      </c>
      <c r="AR18" s="47">
        <v>15.6</v>
      </c>
      <c r="AS18" s="48">
        <v>20.5</v>
      </c>
      <c r="AT18" s="48">
        <v>29.375</v>
      </c>
      <c r="AU18" s="48">
        <v>18.75</v>
      </c>
      <c r="AV18" s="48">
        <v>51.125</v>
      </c>
      <c r="AW18"/>
      <c r="AX18" s="47">
        <v>60</v>
      </c>
      <c r="AY18" s="47">
        <v>46</v>
      </c>
      <c r="AZ18"/>
    </row>
    <row r="19" spans="2:52" ht="15.75" thickBot="1" x14ac:dyDescent="0.3">
      <c r="B19" s="10"/>
      <c r="C19" s="14" t="s">
        <v>3</v>
      </c>
      <c r="D19" s="12"/>
      <c r="E19" s="12"/>
      <c r="F19" s="12"/>
      <c r="G19" s="12"/>
      <c r="H19" s="12"/>
      <c r="I19" s="76"/>
      <c r="J19" s="12"/>
      <c r="K19" s="12"/>
      <c r="L19" s="12"/>
      <c r="M19" s="12"/>
      <c r="N19" s="12"/>
      <c r="O19" s="12"/>
      <c r="P19" s="12"/>
      <c r="Q19" s="11"/>
      <c r="AA19"/>
      <c r="AB19" s="31"/>
      <c r="AC19" s="137" t="s">
        <v>20</v>
      </c>
      <c r="AD19" s="137"/>
      <c r="AE19" s="137"/>
      <c r="AF19" s="137"/>
      <c r="AG19" s="138"/>
      <c r="AH19" s="37">
        <f>MIN(AH8/'Arch Pipe - Ciment.'!H25,1)</f>
        <v>0.52957746478873235</v>
      </c>
      <c r="AI19" s="30"/>
      <c r="AJ19"/>
      <c r="AK19"/>
      <c r="AL19"/>
      <c r="AM19"/>
      <c r="AN19">
        <v>0.62666666666666659</v>
      </c>
      <c r="AO19"/>
      <c r="AQ19" s="47" t="s">
        <v>48</v>
      </c>
      <c r="AR19" s="47">
        <v>14.7</v>
      </c>
      <c r="AS19" s="48">
        <v>14.625</v>
      </c>
      <c r="AT19" s="48">
        <v>32.25</v>
      </c>
      <c r="AU19" s="48">
        <v>12.375</v>
      </c>
      <c r="AV19" s="48">
        <v>99.25</v>
      </c>
      <c r="AW19"/>
      <c r="AX19" s="47">
        <v>64</v>
      </c>
      <c r="AY19" s="47">
        <v>43</v>
      </c>
      <c r="AZ19"/>
    </row>
    <row r="20" spans="2:52" ht="15.75" thickBot="1" x14ac:dyDescent="0.3">
      <c r="B20" s="10"/>
      <c r="C20" s="12"/>
      <c r="D20" s="12"/>
      <c r="E20" s="12"/>
      <c r="F20" s="12"/>
      <c r="G20" s="12"/>
      <c r="H20" s="12"/>
      <c r="I20" s="76"/>
      <c r="J20" s="12"/>
      <c r="K20" s="12"/>
      <c r="L20" s="12"/>
      <c r="M20" s="12"/>
      <c r="N20" s="12"/>
      <c r="O20" s="12"/>
      <c r="P20" s="12"/>
      <c r="Q20" s="11"/>
      <c r="AA20"/>
      <c r="AB20" s="31"/>
      <c r="AC20" s="137" t="s">
        <v>14</v>
      </c>
      <c r="AD20" s="137"/>
      <c r="AE20" s="137"/>
      <c r="AF20" s="137"/>
      <c r="AG20" s="138"/>
      <c r="AH20" s="37">
        <f>IF('Arch Pipe - Ciment.'!H41=0,0,'Arch Pipe - Ciment.'!AH14)</f>
        <v>0</v>
      </c>
      <c r="AI20" s="30"/>
      <c r="AJ20"/>
      <c r="AK20"/>
      <c r="AL20"/>
      <c r="AM20"/>
      <c r="AN20">
        <v>0</v>
      </c>
      <c r="AO20"/>
      <c r="AQ20" s="47" t="s">
        <v>49</v>
      </c>
      <c r="AR20" s="47">
        <v>19.3</v>
      </c>
      <c r="AS20" s="48">
        <v>22.75</v>
      </c>
      <c r="AT20" s="48">
        <v>32.625</v>
      </c>
      <c r="AU20" s="48">
        <v>20.75</v>
      </c>
      <c r="AV20" s="48">
        <v>56.25</v>
      </c>
      <c r="AW20"/>
      <c r="AX20" s="47">
        <v>66</v>
      </c>
      <c r="AY20" s="47">
        <v>51</v>
      </c>
      <c r="AZ20"/>
    </row>
    <row r="21" spans="2:52" ht="20.100000000000001" customHeight="1" thickBot="1" x14ac:dyDescent="0.3">
      <c r="B21" s="10"/>
      <c r="C21" s="148" t="s">
        <v>105</v>
      </c>
      <c r="D21" s="149"/>
      <c r="E21" s="149"/>
      <c r="F21" s="149"/>
      <c r="G21" s="150"/>
      <c r="H21" s="6" t="s">
        <v>50</v>
      </c>
      <c r="I21" s="102" t="s">
        <v>119</v>
      </c>
      <c r="J21" s="12"/>
      <c r="K21" s="12"/>
      <c r="L21" s="12"/>
      <c r="M21" s="12"/>
      <c r="N21" s="12"/>
      <c r="O21" s="12"/>
      <c r="P21" s="12"/>
      <c r="Q21" s="11"/>
      <c r="AA21"/>
      <c r="AB21" s="31"/>
      <c r="AC21" s="38"/>
      <c r="AD21" s="38"/>
      <c r="AE21" s="38"/>
      <c r="AF21" s="38"/>
      <c r="AG21" s="38"/>
      <c r="AH21" s="2"/>
      <c r="AI21" s="30"/>
      <c r="AJ21"/>
      <c r="AK21"/>
      <c r="AL21"/>
      <c r="AM21"/>
      <c r="AN21"/>
      <c r="AO21"/>
      <c r="AQ21" s="47" t="s">
        <v>50</v>
      </c>
      <c r="AR21" s="47">
        <v>18.100000000000001</v>
      </c>
      <c r="AS21" s="48">
        <v>16.25</v>
      </c>
      <c r="AT21" s="48">
        <v>35.75</v>
      </c>
      <c r="AU21" s="48">
        <v>13.75</v>
      </c>
      <c r="AV21" s="48">
        <v>110.25</v>
      </c>
      <c r="AW21"/>
      <c r="AX21" s="47">
        <v>71</v>
      </c>
      <c r="AY21" s="47">
        <v>47</v>
      </c>
      <c r="AZ21"/>
    </row>
    <row r="22" spans="2:52" ht="15.75" thickBot="1" x14ac:dyDescent="0.3">
      <c r="B22" s="10"/>
      <c r="C22" s="195"/>
      <c r="D22" s="195"/>
      <c r="E22" s="195"/>
      <c r="F22" s="195"/>
      <c r="G22" s="195"/>
      <c r="H22" s="94"/>
      <c r="I22" s="76"/>
      <c r="J22" s="12"/>
      <c r="K22" s="12"/>
      <c r="L22" s="12"/>
      <c r="M22" s="12"/>
      <c r="N22" s="12"/>
      <c r="O22" s="12"/>
      <c r="P22" s="12"/>
      <c r="Q22" s="11"/>
      <c r="AA22"/>
      <c r="AB22" s="31"/>
      <c r="AC22" s="38"/>
      <c r="AD22" s="38"/>
      <c r="AE22" s="38"/>
      <c r="AF22" s="38"/>
      <c r="AG22" s="38"/>
      <c r="AH22" s="2"/>
      <c r="AI22" s="30"/>
      <c r="AJ22"/>
      <c r="AK22"/>
      <c r="AL22"/>
      <c r="AM22"/>
      <c r="AN22"/>
      <c r="AO22"/>
      <c r="AQ22" s="47" t="s">
        <v>51</v>
      </c>
      <c r="AR22" s="47">
        <v>23.2</v>
      </c>
      <c r="AS22" s="48">
        <v>25.125</v>
      </c>
      <c r="AT22" s="48">
        <v>36.75</v>
      </c>
      <c r="AU22" s="48">
        <v>22.875</v>
      </c>
      <c r="AV22" s="48">
        <v>63.75</v>
      </c>
      <c r="AW22"/>
      <c r="AX22" s="47">
        <v>73</v>
      </c>
      <c r="AY22" s="47">
        <v>55</v>
      </c>
      <c r="AZ22"/>
    </row>
    <row r="23" spans="2:52" ht="20.100000000000001" customHeight="1" thickBot="1" x14ac:dyDescent="0.3">
      <c r="B23" s="10"/>
      <c r="C23" s="148" t="s">
        <v>106</v>
      </c>
      <c r="D23" s="149"/>
      <c r="E23" s="149"/>
      <c r="F23" s="149"/>
      <c r="G23" s="150"/>
      <c r="H23" s="116">
        <f>VLOOKUP(H21,'Arch Pipe - Ciment.'!AQ2:AV34,4,FALSE)</f>
        <v>35.75</v>
      </c>
      <c r="I23" s="102" t="s">
        <v>119</v>
      </c>
      <c r="J23" s="12"/>
      <c r="K23" s="12"/>
      <c r="L23" s="12"/>
      <c r="M23" s="12"/>
      <c r="N23" s="12"/>
      <c r="O23" s="12"/>
      <c r="P23" s="12"/>
      <c r="Q23" s="11"/>
      <c r="AA23"/>
      <c r="AB23" s="31"/>
      <c r="AC23" s="39" t="s">
        <v>28</v>
      </c>
      <c r="AD23" s="38"/>
      <c r="AE23" s="38"/>
      <c r="AF23" s="38"/>
      <c r="AG23" s="38">
        <f>IF('Arch Pipe - Ciment.'!H66&lt;='Arch Pipe - Ciment.'!H85,IF('Arch Pipe - Ciment.'!H85&lt;='Arch Pipe - Ciment.'!H67,1,0),0)</f>
        <v>1</v>
      </c>
      <c r="AH23" s="2">
        <f>IF('Arch Pipe - Ciment.'!H66&lt;='Arch Pipe - Ciment.'!H98,IF('Arch Pipe - Ciment.'!H98&lt;='Arch Pipe - Ciment.'!H67,1,0),0)</f>
        <v>1</v>
      </c>
      <c r="AI23" s="30"/>
      <c r="AJ23"/>
      <c r="AK23"/>
      <c r="AL23"/>
      <c r="AM23"/>
      <c r="AN23"/>
      <c r="AO23"/>
      <c r="AQ23" s="47" t="s">
        <v>52</v>
      </c>
      <c r="AR23" s="47">
        <v>21.9</v>
      </c>
      <c r="AS23" s="48">
        <v>17.875</v>
      </c>
      <c r="AT23" s="48">
        <v>39.375</v>
      </c>
      <c r="AU23" s="48">
        <v>15.125</v>
      </c>
      <c r="AV23" s="48">
        <v>121.25</v>
      </c>
      <c r="AW23"/>
      <c r="AX23" s="47">
        <v>77</v>
      </c>
      <c r="AY23" s="47">
        <v>52</v>
      </c>
      <c r="AZ23"/>
    </row>
    <row r="24" spans="2:52" ht="20.100000000000001" customHeight="1" thickBot="1" x14ac:dyDescent="0.3">
      <c r="B24" s="10"/>
      <c r="C24" s="148" t="s">
        <v>107</v>
      </c>
      <c r="D24" s="149"/>
      <c r="E24" s="149"/>
      <c r="F24" s="149"/>
      <c r="G24" s="150"/>
      <c r="H24" s="117">
        <f>VLOOKUP(H21,'Arch Pipe - Ciment.'!AQ2:AV34,6,FALSE)</f>
        <v>110.25</v>
      </c>
      <c r="I24" s="102" t="s">
        <v>119</v>
      </c>
      <c r="J24" s="12"/>
      <c r="K24" s="12"/>
      <c r="L24" s="12"/>
      <c r="M24" s="12"/>
      <c r="N24" s="12"/>
      <c r="O24" s="12"/>
      <c r="P24" s="12"/>
      <c r="Q24" s="11"/>
      <c r="AA24"/>
      <c r="AB24" s="31"/>
      <c r="AC24" s="39" t="s">
        <v>26</v>
      </c>
      <c r="AD24" s="38"/>
      <c r="AE24" s="38"/>
      <c r="AF24" s="38"/>
      <c r="AG24" s="38">
        <f>IF('Arch Pipe - Ciment.'!H66&lt;='Arch Pipe - Ciment.'!H91,IF('Arch Pipe - Ciment.'!H91&lt;='Arch Pipe - Ciment.'!H67,1,0),0)</f>
        <v>1</v>
      </c>
      <c r="AH24" s="2">
        <f>IF('Arch Pipe - Ciment.'!H66&lt;='Arch Pipe - Ciment.'!H104,IF('Arch Pipe - Ciment.'!H104&lt;='Arch Pipe - Ciment.'!H67,1,0),0)</f>
        <v>1</v>
      </c>
      <c r="AI24" s="30"/>
      <c r="AJ24"/>
      <c r="AK24"/>
      <c r="AL24"/>
      <c r="AM24"/>
      <c r="AN24"/>
      <c r="AO24"/>
      <c r="AQ24" s="47" t="s">
        <v>53</v>
      </c>
      <c r="AR24" s="47">
        <v>27.4</v>
      </c>
      <c r="AS24" s="48">
        <v>23.75</v>
      </c>
      <c r="AT24" s="48">
        <v>39.5</v>
      </c>
      <c r="AU24" s="48">
        <v>20.875</v>
      </c>
      <c r="AV24" s="48">
        <v>82.625</v>
      </c>
      <c r="AW24"/>
      <c r="AX24" s="47">
        <v>81</v>
      </c>
      <c r="AY24" s="47">
        <v>59</v>
      </c>
      <c r="AZ24"/>
    </row>
    <row r="25" spans="2:52" ht="20.100000000000001" customHeight="1" thickBot="1" x14ac:dyDescent="0.3">
      <c r="B25" s="10"/>
      <c r="C25" s="148" t="s">
        <v>108</v>
      </c>
      <c r="D25" s="149"/>
      <c r="E25" s="149"/>
      <c r="F25" s="149"/>
      <c r="G25" s="150"/>
      <c r="H25" s="1">
        <f>VLOOKUP(H21,'Arch Pipe - Ciment.'!AQ2:AX34,8,FALSE)</f>
        <v>71</v>
      </c>
      <c r="I25" s="102" t="s">
        <v>119</v>
      </c>
      <c r="J25" s="12"/>
      <c r="K25" s="12"/>
      <c r="L25" s="12"/>
      <c r="M25" s="12"/>
      <c r="N25" s="12"/>
      <c r="O25" s="12"/>
      <c r="P25" s="12"/>
      <c r="Q25" s="11"/>
      <c r="AA25"/>
      <c r="AB25" s="35"/>
      <c r="AC25" s="40"/>
      <c r="AD25" s="40"/>
      <c r="AE25" s="40"/>
      <c r="AF25" s="40"/>
      <c r="AG25" s="56">
        <f>SUM(AG23:AG24)</f>
        <v>2</v>
      </c>
      <c r="AH25" s="32"/>
      <c r="AI25" s="33"/>
      <c r="AJ25"/>
      <c r="AK25"/>
      <c r="AL25"/>
      <c r="AM25"/>
      <c r="AN25"/>
      <c r="AO25"/>
      <c r="AQ25" s="47" t="s">
        <v>54</v>
      </c>
      <c r="AR25" s="47">
        <v>26</v>
      </c>
      <c r="AS25" s="48">
        <v>19.5</v>
      </c>
      <c r="AT25" s="47">
        <v>43</v>
      </c>
      <c r="AU25" s="48">
        <v>16.5</v>
      </c>
      <c r="AV25" s="48">
        <v>132.25</v>
      </c>
      <c r="AW25"/>
      <c r="AX25" s="47">
        <v>83</v>
      </c>
      <c r="AY25" s="47">
        <v>57</v>
      </c>
      <c r="AZ25"/>
    </row>
    <row r="26" spans="2:52" ht="20.100000000000001" customHeight="1" thickBot="1" x14ac:dyDescent="0.3">
      <c r="B26" s="10"/>
      <c r="C26" s="148" t="s">
        <v>109</v>
      </c>
      <c r="D26" s="149"/>
      <c r="E26" s="149"/>
      <c r="F26" s="149"/>
      <c r="G26" s="150"/>
      <c r="H26" s="1">
        <f>VLOOKUP(H21,'Arch Pipe - Ciment.'!AQ2:AY34,9,FALSE)</f>
        <v>47</v>
      </c>
      <c r="I26" s="102" t="s">
        <v>119</v>
      </c>
      <c r="J26" s="12"/>
      <c r="K26" s="12"/>
      <c r="L26" s="12"/>
      <c r="M26" s="12"/>
      <c r="N26" s="12"/>
      <c r="O26" s="12"/>
      <c r="P26" s="12"/>
      <c r="Q26" s="11"/>
      <c r="AA26"/>
      <c r="AB26"/>
      <c r="AC26"/>
      <c r="AD26"/>
      <c r="AE26"/>
      <c r="AF26"/>
      <c r="AG26"/>
      <c r="AH26" s="2"/>
      <c r="AI26"/>
      <c r="AJ26"/>
      <c r="AK26"/>
      <c r="AL26"/>
      <c r="AM26"/>
      <c r="AN26"/>
      <c r="AO26"/>
      <c r="AQ26" s="47" t="s">
        <v>55</v>
      </c>
      <c r="AR26" s="47">
        <v>32.1</v>
      </c>
      <c r="AS26" s="48">
        <v>25.75</v>
      </c>
      <c r="AT26" s="48">
        <v>43.375</v>
      </c>
      <c r="AU26" s="48">
        <v>22.625</v>
      </c>
      <c r="AV26" s="48">
        <v>92.25</v>
      </c>
      <c r="AW26"/>
      <c r="AX26" s="47">
        <v>87</v>
      </c>
      <c r="AY26" s="47">
        <v>63</v>
      </c>
      <c r="AZ26"/>
    </row>
    <row r="27" spans="2:52" ht="15.75" thickBot="1" x14ac:dyDescent="0.3">
      <c r="B27" s="10"/>
      <c r="C27" s="93"/>
      <c r="D27" s="93"/>
      <c r="E27" s="93"/>
      <c r="F27" s="93"/>
      <c r="G27" s="93"/>
      <c r="H27" s="94"/>
      <c r="I27" s="76"/>
      <c r="J27" s="12"/>
      <c r="K27" s="12"/>
      <c r="L27" s="12"/>
      <c r="M27" s="12"/>
      <c r="N27" s="12"/>
      <c r="O27" s="12"/>
      <c r="P27" s="12"/>
      <c r="Q27" s="11"/>
      <c r="AA27"/>
      <c r="AB27"/>
      <c r="AC27" t="s">
        <v>86</v>
      </c>
      <c r="AD27"/>
      <c r="AE27"/>
      <c r="AF27"/>
      <c r="AG27"/>
      <c r="AH27" s="2"/>
      <c r="AI27"/>
      <c r="AJ27"/>
      <c r="AK27"/>
      <c r="AL27"/>
      <c r="AM27"/>
      <c r="AN27"/>
      <c r="AO27"/>
      <c r="AQ27" s="47" t="s">
        <v>56</v>
      </c>
      <c r="AR27" s="47">
        <v>37</v>
      </c>
      <c r="AS27" s="48">
        <v>27.75</v>
      </c>
      <c r="AT27" s="47">
        <v>47</v>
      </c>
      <c r="AU27" s="48">
        <v>24.375</v>
      </c>
      <c r="AV27" s="48">
        <v>100.25</v>
      </c>
      <c r="AW27"/>
      <c r="AX27" s="47">
        <v>95</v>
      </c>
      <c r="AY27" s="47">
        <v>67</v>
      </c>
      <c r="AZ27"/>
    </row>
    <row r="28" spans="2:52" ht="45" customHeight="1" thickBot="1" x14ac:dyDescent="0.3">
      <c r="B28" s="10"/>
      <c r="C28" s="162" t="s">
        <v>153</v>
      </c>
      <c r="D28" s="163"/>
      <c r="E28" s="163"/>
      <c r="F28" s="163"/>
      <c r="G28" s="164"/>
      <c r="H28" s="6">
        <v>1.2</v>
      </c>
      <c r="I28" s="76"/>
      <c r="J28" s="12"/>
      <c r="K28" s="12"/>
      <c r="L28" s="12"/>
      <c r="M28" s="12"/>
      <c r="N28" s="12"/>
      <c r="O28" s="12"/>
      <c r="P28" s="12"/>
      <c r="Q28" s="11"/>
      <c r="AA28"/>
      <c r="AB28"/>
      <c r="AC28" t="s">
        <v>92</v>
      </c>
      <c r="AD28"/>
      <c r="AE28"/>
      <c r="AF28"/>
      <c r="AG28"/>
      <c r="AH28" s="2"/>
      <c r="AI28"/>
      <c r="AJ28"/>
      <c r="AK28"/>
      <c r="AL28"/>
      <c r="AM28"/>
      <c r="AN28"/>
      <c r="AO28"/>
      <c r="AQ28" s="47" t="s">
        <v>57</v>
      </c>
      <c r="AR28" s="47">
        <v>42.4</v>
      </c>
      <c r="AS28" s="48">
        <v>29.75</v>
      </c>
      <c r="AT28" s="48">
        <v>51.25</v>
      </c>
      <c r="AU28" s="48">
        <v>26.125</v>
      </c>
      <c r="AV28" s="48">
        <v>111.625</v>
      </c>
      <c r="AW28"/>
      <c r="AX28" s="47">
        <v>103</v>
      </c>
      <c r="AY28" s="47">
        <v>71</v>
      </c>
      <c r="AZ28"/>
    </row>
    <row r="29" spans="2:52" ht="110.1" customHeight="1" thickBot="1" x14ac:dyDescent="0.3">
      <c r="B29" s="10"/>
      <c r="C29" s="162" t="s">
        <v>154</v>
      </c>
      <c r="D29" s="163"/>
      <c r="E29" s="163"/>
      <c r="F29" s="163"/>
      <c r="G29" s="164"/>
      <c r="H29" s="6">
        <v>16000</v>
      </c>
      <c r="I29" s="102" t="s">
        <v>98</v>
      </c>
      <c r="J29" s="12"/>
      <c r="K29" s="12"/>
      <c r="L29" s="12"/>
      <c r="M29" s="12"/>
      <c r="N29" s="12"/>
      <c r="O29" s="12"/>
      <c r="P29" s="12"/>
      <c r="Q29" s="11"/>
      <c r="AA29"/>
      <c r="AB29"/>
      <c r="AC29" t="s">
        <v>87</v>
      </c>
      <c r="AD29"/>
      <c r="AE29"/>
      <c r="AF29"/>
      <c r="AG29"/>
      <c r="AH29" s="2"/>
      <c r="AI29"/>
      <c r="AJ29"/>
      <c r="AK29"/>
      <c r="AL29"/>
      <c r="AM29"/>
      <c r="AN29"/>
      <c r="AO29"/>
      <c r="AQ29" s="47" t="s">
        <v>58</v>
      </c>
      <c r="AR29" s="47">
        <v>48</v>
      </c>
      <c r="AS29" s="48">
        <v>31.625</v>
      </c>
      <c r="AT29" s="48">
        <v>54.875</v>
      </c>
      <c r="AU29" s="48">
        <v>27.75</v>
      </c>
      <c r="AV29" s="48">
        <v>120.25</v>
      </c>
      <c r="AW29"/>
      <c r="AX29" s="47">
        <v>112</v>
      </c>
      <c r="AY29" s="47">
        <v>75</v>
      </c>
      <c r="AZ29"/>
    </row>
    <row r="30" spans="2:52" ht="30" customHeight="1" thickBot="1" x14ac:dyDescent="0.3">
      <c r="B30" s="10"/>
      <c r="C30" s="162" t="s">
        <v>180</v>
      </c>
      <c r="D30" s="163"/>
      <c r="E30" s="163"/>
      <c r="F30" s="163"/>
      <c r="G30" s="164"/>
      <c r="H30" s="6">
        <v>24</v>
      </c>
      <c r="I30" s="102" t="s">
        <v>119</v>
      </c>
      <c r="J30" s="12"/>
      <c r="K30" s="12"/>
      <c r="L30" s="12"/>
      <c r="M30" s="12"/>
      <c r="N30" s="12"/>
      <c r="O30" s="12"/>
      <c r="P30" s="12"/>
      <c r="Q30" s="11"/>
      <c r="AA30"/>
      <c r="AB30"/>
      <c r="AC30" t="s">
        <v>90</v>
      </c>
      <c r="AD30"/>
      <c r="AE30"/>
      <c r="AF30"/>
      <c r="AG30"/>
      <c r="AH30" s="2"/>
      <c r="AI30"/>
      <c r="AJ30"/>
      <c r="AK30"/>
      <c r="AL30"/>
      <c r="AM30"/>
      <c r="AN30"/>
      <c r="AO30"/>
      <c r="AQ30" s="47" t="s">
        <v>59</v>
      </c>
      <c r="AR30" s="47">
        <v>54.2</v>
      </c>
      <c r="AS30" s="48">
        <v>33.625</v>
      </c>
      <c r="AT30" s="48">
        <v>59.375</v>
      </c>
      <c r="AU30" s="48">
        <v>29.5</v>
      </c>
      <c r="AV30" s="48">
        <v>131.75</v>
      </c>
      <c r="AW30"/>
      <c r="AX30" s="47">
        <v>117</v>
      </c>
      <c r="AY30" s="47">
        <v>79</v>
      </c>
      <c r="AZ30"/>
    </row>
    <row r="31" spans="2:52" ht="110.1" customHeight="1" thickBot="1" x14ac:dyDescent="0.3">
      <c r="B31" s="10"/>
      <c r="C31" s="162" t="s">
        <v>181</v>
      </c>
      <c r="D31" s="163"/>
      <c r="E31" s="163"/>
      <c r="F31" s="163"/>
      <c r="G31" s="164"/>
      <c r="H31" s="6">
        <v>1.1499999999999999</v>
      </c>
      <c r="I31" s="77"/>
      <c r="J31" s="12"/>
      <c r="K31" s="12"/>
      <c r="L31" s="12"/>
      <c r="M31" s="68" t="s">
        <v>10</v>
      </c>
      <c r="N31" s="12"/>
      <c r="O31" s="12"/>
      <c r="P31" s="12"/>
      <c r="Q31" s="11"/>
      <c r="AA31"/>
      <c r="AB31"/>
      <c r="AC31" t="s">
        <v>88</v>
      </c>
      <c r="AD31"/>
      <c r="AE31"/>
      <c r="AF31"/>
      <c r="AG31"/>
      <c r="AH31" s="2"/>
      <c r="AI31"/>
      <c r="AJ31"/>
      <c r="AK31"/>
      <c r="AL31"/>
      <c r="AM31"/>
      <c r="AN31"/>
      <c r="AO31"/>
      <c r="AQ31" s="47" t="s">
        <v>60</v>
      </c>
      <c r="AR31" s="47">
        <v>60.5</v>
      </c>
      <c r="AS31" s="48">
        <v>35.625</v>
      </c>
      <c r="AT31" s="48">
        <v>63.25</v>
      </c>
      <c r="AU31" s="48">
        <v>31.25</v>
      </c>
      <c r="AV31" s="48">
        <v>139.75</v>
      </c>
      <c r="AW31"/>
      <c r="AX31" s="47">
        <v>128</v>
      </c>
      <c r="AY31" s="47">
        <v>83</v>
      </c>
      <c r="AZ31"/>
    </row>
    <row r="32" spans="2:52" ht="45" customHeight="1" thickBot="1" x14ac:dyDescent="0.3">
      <c r="B32" s="10"/>
      <c r="C32" s="162" t="s">
        <v>231</v>
      </c>
      <c r="D32" s="163"/>
      <c r="E32" s="163"/>
      <c r="F32" s="163"/>
      <c r="G32" s="164"/>
      <c r="H32" s="6">
        <v>10</v>
      </c>
      <c r="I32" s="102" t="s">
        <v>119</v>
      </c>
      <c r="J32" s="12"/>
      <c r="K32" s="12"/>
      <c r="L32" s="12"/>
      <c r="M32" s="12"/>
      <c r="N32" s="12"/>
      <c r="O32" s="12"/>
      <c r="P32" s="12"/>
      <c r="Q32" s="11"/>
      <c r="AA32"/>
      <c r="AB32"/>
      <c r="AC32" t="s">
        <v>89</v>
      </c>
      <c r="AD32"/>
      <c r="AE32"/>
      <c r="AF32"/>
      <c r="AG32"/>
      <c r="AH32" s="2"/>
      <c r="AI32"/>
      <c r="AJ32"/>
      <c r="AK32"/>
      <c r="AL32"/>
      <c r="AM32"/>
      <c r="AN32"/>
      <c r="AO32"/>
      <c r="AQ32" s="47" t="s">
        <v>61</v>
      </c>
      <c r="AR32" s="47">
        <v>67.400000000000006</v>
      </c>
      <c r="AS32" s="48">
        <v>37.625</v>
      </c>
      <c r="AT32" s="48">
        <v>67.375</v>
      </c>
      <c r="AU32" s="47">
        <v>33</v>
      </c>
      <c r="AV32" s="48">
        <v>149.5</v>
      </c>
      <c r="AW32"/>
      <c r="AX32" s="47">
        <v>137</v>
      </c>
      <c r="AY32" s="47">
        <v>87</v>
      </c>
      <c r="AZ32"/>
    </row>
    <row r="33" spans="2:52" ht="45" customHeight="1" thickBot="1" x14ac:dyDescent="0.3">
      <c r="B33" s="10"/>
      <c r="C33" s="162" t="s">
        <v>232</v>
      </c>
      <c r="D33" s="163"/>
      <c r="E33" s="163"/>
      <c r="F33" s="163"/>
      <c r="G33" s="164"/>
      <c r="H33" s="6">
        <v>20</v>
      </c>
      <c r="I33" s="102" t="s">
        <v>119</v>
      </c>
      <c r="J33" s="12"/>
      <c r="K33" s="12"/>
      <c r="L33" s="12"/>
      <c r="M33" s="12"/>
      <c r="N33" s="12"/>
      <c r="O33" s="12"/>
      <c r="P33" s="12"/>
      <c r="Q33" s="11"/>
      <c r="AA33"/>
      <c r="AB33"/>
      <c r="AC33" t="s">
        <v>91</v>
      </c>
      <c r="AD33"/>
      <c r="AE33"/>
      <c r="AF33"/>
      <c r="AG33"/>
      <c r="AH33" s="2"/>
      <c r="AI33"/>
      <c r="AJ33"/>
      <c r="AK33"/>
      <c r="AL33"/>
      <c r="AM33"/>
      <c r="AN33"/>
      <c r="AO33"/>
      <c r="AQ33" s="47" t="s">
        <v>62</v>
      </c>
      <c r="AR33" s="47">
        <v>74.5</v>
      </c>
      <c r="AS33" s="48">
        <v>39.5</v>
      </c>
      <c r="AT33" s="48">
        <v>71.625</v>
      </c>
      <c r="AU33" s="48">
        <v>34.75</v>
      </c>
      <c r="AV33" s="48">
        <v>162.375</v>
      </c>
      <c r="AW33"/>
      <c r="AX33" s="47">
        <v>142</v>
      </c>
      <c r="AY33" s="47">
        <v>91</v>
      </c>
      <c r="AZ33"/>
    </row>
    <row r="34" spans="2:52" ht="45" customHeight="1" thickBot="1" x14ac:dyDescent="0.3">
      <c r="B34" s="10"/>
      <c r="C34" s="162" t="s">
        <v>182</v>
      </c>
      <c r="D34" s="163"/>
      <c r="E34" s="163"/>
      <c r="F34" s="163"/>
      <c r="G34" s="164"/>
      <c r="H34" s="6">
        <v>72</v>
      </c>
      <c r="I34" s="102" t="s">
        <v>119</v>
      </c>
      <c r="J34" s="12"/>
      <c r="K34" s="12"/>
      <c r="L34" s="12"/>
      <c r="M34" s="12"/>
      <c r="N34" s="12"/>
      <c r="O34" s="12"/>
      <c r="P34" s="12"/>
      <c r="Q34" s="11"/>
      <c r="AA34"/>
      <c r="AB34"/>
      <c r="AC34" t="s">
        <v>94</v>
      </c>
      <c r="AD34"/>
      <c r="AE34"/>
      <c r="AF34"/>
      <c r="AG34"/>
      <c r="AH34" s="2"/>
      <c r="AI34"/>
      <c r="AJ34"/>
      <c r="AK34"/>
      <c r="AL34"/>
      <c r="AM34"/>
      <c r="AN34"/>
      <c r="AO34"/>
      <c r="AQ34" s="47"/>
      <c r="AR34" s="47"/>
      <c r="AS34" s="48"/>
      <c r="AT34" s="48"/>
      <c r="AU34" s="48"/>
      <c r="AV34" s="48"/>
      <c r="AW34"/>
      <c r="AX34" s="47"/>
      <c r="AY34" s="47"/>
      <c r="AZ34"/>
    </row>
    <row r="35" spans="2:52" ht="45" customHeight="1" x14ac:dyDescent="0.25">
      <c r="B35" s="10"/>
      <c r="C35" s="162" t="s">
        <v>243</v>
      </c>
      <c r="D35" s="163"/>
      <c r="E35" s="163"/>
      <c r="F35" s="163"/>
      <c r="G35" s="164"/>
      <c r="H35" s="6">
        <v>48</v>
      </c>
      <c r="I35" s="102" t="s">
        <v>119</v>
      </c>
      <c r="J35" s="12"/>
      <c r="K35" s="12"/>
      <c r="L35" s="12"/>
      <c r="M35" s="12"/>
      <c r="N35" s="12"/>
      <c r="O35" s="12"/>
      <c r="P35" s="12"/>
      <c r="Q35" s="11"/>
      <c r="AA35"/>
      <c r="AB35"/>
      <c r="AC35"/>
      <c r="AD35"/>
      <c r="AE35"/>
      <c r="AF35"/>
      <c r="AG35"/>
      <c r="AH35" s="2"/>
      <c r="AI35"/>
      <c r="AJ35"/>
      <c r="AK35"/>
      <c r="AL35"/>
      <c r="AM35"/>
      <c r="AN35"/>
      <c r="AO35"/>
      <c r="AQ35" s="120"/>
      <c r="AR35" s="120"/>
      <c r="AS35" s="121"/>
      <c r="AT35" s="121"/>
      <c r="AU35" s="121"/>
      <c r="AV35" s="121"/>
      <c r="AW35"/>
      <c r="AX35" s="120"/>
      <c r="AY35" s="120"/>
      <c r="AZ35"/>
    </row>
    <row r="36" spans="2:52" ht="15" hidden="1" x14ac:dyDescent="0.25">
      <c r="B36" s="10"/>
      <c r="C36" s="196" t="s">
        <v>29</v>
      </c>
      <c r="D36" s="197"/>
      <c r="E36" s="197"/>
      <c r="F36" s="197"/>
      <c r="G36" s="198"/>
      <c r="H36" s="51">
        <f>H25</f>
        <v>71</v>
      </c>
      <c r="I36" s="102"/>
      <c r="J36" s="12"/>
      <c r="K36" s="12"/>
      <c r="L36" s="12"/>
      <c r="M36" s="12"/>
      <c r="N36" s="12"/>
      <c r="O36" s="12"/>
      <c r="P36" s="12"/>
      <c r="Q36" s="11"/>
      <c r="AA36"/>
      <c r="AB36"/>
      <c r="AC36"/>
      <c r="AD36"/>
      <c r="AE36"/>
      <c r="AF36"/>
      <c r="AG36"/>
      <c r="AH36" s="2"/>
      <c r="AI36"/>
      <c r="AJ36"/>
      <c r="AK36"/>
      <c r="AL36"/>
      <c r="AM36"/>
      <c r="AN36"/>
      <c r="AO36"/>
      <c r="AQ36"/>
      <c r="AR36"/>
      <c r="AS36"/>
      <c r="AT36"/>
      <c r="AU36"/>
      <c r="AV36"/>
      <c r="AW36"/>
      <c r="AX36"/>
      <c r="AY36"/>
      <c r="AZ36"/>
    </row>
    <row r="37" spans="2:52" ht="20.100000000000001" customHeight="1" x14ac:dyDescent="0.25">
      <c r="B37" s="10"/>
      <c r="C37" s="159" t="s">
        <v>156</v>
      </c>
      <c r="D37" s="167"/>
      <c r="E37" s="167"/>
      <c r="F37" s="167"/>
      <c r="G37" s="168"/>
      <c r="H37" s="6">
        <v>120</v>
      </c>
      <c r="I37" s="102" t="s">
        <v>99</v>
      </c>
      <c r="J37" s="12"/>
      <c r="K37" s="12"/>
      <c r="L37" s="12"/>
      <c r="M37" s="12"/>
      <c r="N37" s="12"/>
      <c r="O37" s="12"/>
      <c r="P37" s="12"/>
      <c r="Q37" s="11"/>
      <c r="AA37"/>
      <c r="AB37"/>
      <c r="AC37"/>
      <c r="AD37"/>
      <c r="AE37"/>
      <c r="AF37"/>
      <c r="AG37"/>
      <c r="AH37" s="2"/>
      <c r="AI37"/>
      <c r="AJ37"/>
      <c r="AK37"/>
      <c r="AL37"/>
      <c r="AM37"/>
      <c r="AN37"/>
      <c r="AO37"/>
    </row>
    <row r="38" spans="2:52" ht="110.1" customHeight="1" x14ac:dyDescent="0.25">
      <c r="B38" s="10"/>
      <c r="C38" s="162" t="s">
        <v>152</v>
      </c>
      <c r="D38" s="163"/>
      <c r="E38" s="163"/>
      <c r="F38" s="163"/>
      <c r="G38" s="164"/>
      <c r="H38" s="6">
        <v>0</v>
      </c>
      <c r="I38" s="102" t="s">
        <v>100</v>
      </c>
      <c r="J38" s="12"/>
      <c r="K38" s="12"/>
      <c r="L38" s="12"/>
      <c r="M38" s="66" t="s">
        <v>15</v>
      </c>
      <c r="N38" s="12"/>
      <c r="O38" s="12"/>
      <c r="P38" s="12"/>
      <c r="Q38" s="11"/>
      <c r="AA38" s="133" t="s">
        <v>123</v>
      </c>
      <c r="AB38" s="133"/>
      <c r="AC38" s="84">
        <f>-2*'Arch Pipe - Ciment.'!H40*'Arch Pipe - Ciment.'!H30/('Arch Pipe - Ciment.'!H39*12)</f>
        <v>-0.13007323943661969</v>
      </c>
      <c r="AD38"/>
      <c r="AE38"/>
      <c r="AF38"/>
      <c r="AG38"/>
      <c r="AH38" s="2"/>
      <c r="AI38"/>
      <c r="AJ38"/>
      <c r="AK38"/>
      <c r="AL38"/>
      <c r="AM38"/>
      <c r="AN38"/>
      <c r="AO38"/>
    </row>
    <row r="39" spans="2:52" ht="15.75" hidden="1" x14ac:dyDescent="0.25">
      <c r="B39" s="10"/>
      <c r="C39" s="199" t="s">
        <v>23</v>
      </c>
      <c r="D39" s="200"/>
      <c r="E39" s="200"/>
      <c r="F39" s="200"/>
      <c r="G39" s="201"/>
      <c r="H39" s="50">
        <f>H36/12</f>
        <v>5.916666666666667</v>
      </c>
      <c r="I39" s="76"/>
      <c r="J39" s="12"/>
      <c r="K39" s="12"/>
      <c r="L39" s="12"/>
      <c r="M39" s="13" t="s">
        <v>10</v>
      </c>
      <c r="N39" s="12"/>
      <c r="O39" s="12"/>
      <c r="P39" s="12"/>
      <c r="Q39" s="11"/>
      <c r="AA39"/>
      <c r="AB39"/>
      <c r="AC39"/>
      <c r="AD39"/>
      <c r="AE39"/>
      <c r="AF39"/>
      <c r="AG39"/>
      <c r="AH39" s="2"/>
      <c r="AI39"/>
      <c r="AJ39"/>
      <c r="AK39"/>
      <c r="AL39"/>
      <c r="AM39"/>
      <c r="AN39"/>
      <c r="AO39"/>
    </row>
    <row r="40" spans="2:52" ht="84.95" customHeight="1" x14ac:dyDescent="0.25">
      <c r="B40" s="10"/>
      <c r="C40" s="180" t="s">
        <v>191</v>
      </c>
      <c r="D40" s="181"/>
      <c r="E40" s="181"/>
      <c r="F40" s="181"/>
      <c r="G40" s="182"/>
      <c r="H40" s="86">
        <v>0.19239999999999999</v>
      </c>
      <c r="I40" s="76"/>
      <c r="J40" s="12"/>
      <c r="K40" s="12"/>
      <c r="L40" s="12"/>
      <c r="M40" s="36"/>
      <c r="N40" s="12"/>
      <c r="O40" s="12"/>
      <c r="P40" s="12"/>
      <c r="Q40" s="11"/>
      <c r="AA40"/>
      <c r="AB40"/>
      <c r="AC40"/>
      <c r="AD40"/>
      <c r="AE40"/>
      <c r="AF40"/>
      <c r="AG40"/>
      <c r="AH40" s="2"/>
      <c r="AI40"/>
      <c r="AJ40"/>
      <c r="AK40"/>
      <c r="AL40"/>
      <c r="AM40"/>
      <c r="AN40"/>
      <c r="AO40"/>
    </row>
    <row r="41" spans="2:52" ht="35.1" customHeight="1" x14ac:dyDescent="0.25">
      <c r="B41" s="10"/>
      <c r="C41" s="180" t="s">
        <v>183</v>
      </c>
      <c r="D41" s="181"/>
      <c r="E41" s="181"/>
      <c r="F41" s="181"/>
      <c r="G41" s="182"/>
      <c r="H41" s="6">
        <v>0</v>
      </c>
      <c r="I41" s="102" t="s">
        <v>101</v>
      </c>
      <c r="J41" s="12"/>
      <c r="K41" s="12"/>
      <c r="L41" s="12"/>
      <c r="M41" s="66"/>
      <c r="N41" s="12"/>
      <c r="O41" s="12"/>
      <c r="P41" s="12"/>
      <c r="Q41" s="11"/>
      <c r="AA41"/>
      <c r="AB41"/>
      <c r="AC41"/>
      <c r="AD41"/>
      <c r="AE41"/>
      <c r="AF41"/>
      <c r="AG41"/>
      <c r="AH41" s="2"/>
      <c r="AI41"/>
      <c r="AJ41"/>
      <c r="AK41"/>
      <c r="AL41"/>
      <c r="AM41"/>
      <c r="AN41"/>
      <c r="AO41"/>
    </row>
    <row r="42" spans="2:52" ht="15.75" hidden="1" x14ac:dyDescent="0.25">
      <c r="B42" s="10"/>
      <c r="C42" s="202" t="s">
        <v>11</v>
      </c>
      <c r="D42" s="202"/>
      <c r="E42" s="202"/>
      <c r="F42" s="202"/>
      <c r="G42" s="203"/>
      <c r="H42" s="50">
        <f>H26/12</f>
        <v>3.9166666666666665</v>
      </c>
      <c r="I42" s="76"/>
      <c r="J42" s="12"/>
      <c r="K42" s="12"/>
      <c r="L42" s="12"/>
      <c r="M42" s="13"/>
      <c r="N42" s="12"/>
      <c r="O42" s="12"/>
      <c r="P42" s="12"/>
      <c r="Q42" s="11"/>
      <c r="AA42"/>
      <c r="AB42"/>
      <c r="AC42"/>
      <c r="AD42"/>
      <c r="AE42"/>
      <c r="AF42"/>
      <c r="AG42"/>
      <c r="AH42" s="2"/>
      <c r="AI42"/>
      <c r="AJ42"/>
      <c r="AK42"/>
      <c r="AL42"/>
      <c r="AM42"/>
      <c r="AN42"/>
      <c r="AO42"/>
    </row>
    <row r="43" spans="2:52" ht="15" x14ac:dyDescent="0.25">
      <c r="B43" s="10"/>
      <c r="C43" s="93"/>
      <c r="D43" s="93"/>
      <c r="E43" s="93"/>
      <c r="F43" s="93"/>
      <c r="G43" s="93"/>
      <c r="H43" s="96"/>
      <c r="I43" s="76"/>
      <c r="J43" s="12"/>
      <c r="K43" s="12"/>
      <c r="L43" s="12"/>
      <c r="M43" s="13"/>
      <c r="N43" s="12"/>
      <c r="O43" s="12"/>
      <c r="P43" s="12"/>
      <c r="Q43" s="11"/>
      <c r="AA43"/>
      <c r="AB43"/>
      <c r="AC43" s="110" t="s">
        <v>140</v>
      </c>
      <c r="AD43"/>
      <c r="AE43">
        <f>IF(C55="Note: The effects of live load is neglected.",0,1)</f>
        <v>1</v>
      </c>
      <c r="AF43"/>
      <c r="AG43" t="s">
        <v>141</v>
      </c>
      <c r="AH43" s="2"/>
      <c r="AI43"/>
      <c r="AJ43"/>
      <c r="AK43"/>
      <c r="AL43"/>
      <c r="AM43"/>
      <c r="AN43"/>
      <c r="AO43"/>
    </row>
    <row r="44" spans="2:52" ht="30" customHeight="1" x14ac:dyDescent="0.25">
      <c r="B44" s="10"/>
      <c r="C44" s="154" t="s">
        <v>27</v>
      </c>
      <c r="D44" s="155"/>
      <c r="E44" s="155"/>
      <c r="F44" s="155"/>
      <c r="G44" s="156"/>
      <c r="H44" s="44" t="s">
        <v>28</v>
      </c>
      <c r="I44" s="76"/>
      <c r="J44" s="12"/>
      <c r="K44" s="12"/>
      <c r="L44" s="12"/>
      <c r="M44" s="36" t="s">
        <v>22</v>
      </c>
      <c r="N44" s="12"/>
      <c r="O44" s="12"/>
      <c r="P44" s="12"/>
      <c r="Q44" s="11"/>
      <c r="AA44"/>
      <c r="AB44"/>
      <c r="AC44" s="110">
        <v>0.19239999999999999</v>
      </c>
      <c r="AD44"/>
      <c r="AE44"/>
      <c r="AF44"/>
      <c r="AG44" t="s">
        <v>142</v>
      </c>
      <c r="AH44" s="2"/>
      <c r="AI44"/>
      <c r="AJ44"/>
      <c r="AK44"/>
      <c r="AL44"/>
      <c r="AM44"/>
      <c r="AN44"/>
      <c r="AO44"/>
    </row>
    <row r="45" spans="2:52" ht="15" x14ac:dyDescent="0.25">
      <c r="B45" s="10"/>
      <c r="C45" s="53"/>
      <c r="D45" s="94"/>
      <c r="E45" s="94"/>
      <c r="F45" s="94"/>
      <c r="G45" s="94"/>
      <c r="H45" s="94"/>
      <c r="I45" s="76"/>
      <c r="J45" s="12"/>
      <c r="K45" s="12"/>
      <c r="L45" s="12"/>
      <c r="M45" s="13"/>
      <c r="N45" s="12"/>
      <c r="O45" s="12"/>
      <c r="P45" s="12"/>
      <c r="Q45" s="11"/>
      <c r="AA45"/>
      <c r="AB45"/>
      <c r="AC45" s="110">
        <v>0.16500000000000001</v>
      </c>
      <c r="AD45"/>
      <c r="AE45"/>
      <c r="AF45"/>
      <c r="AG45"/>
      <c r="AH45" s="2"/>
      <c r="AI45"/>
      <c r="AJ45"/>
      <c r="AK45"/>
      <c r="AL45"/>
      <c r="AM45"/>
      <c r="AN45"/>
      <c r="AO45"/>
    </row>
    <row r="46" spans="2:52" ht="30" customHeight="1" x14ac:dyDescent="0.25">
      <c r="B46" s="10"/>
      <c r="C46" s="211" t="str">
        <f>IF(H44="Single Span","","Specify the distance between inside faces of end walls perpendicular to roadway")</f>
        <v/>
      </c>
      <c r="D46" s="211"/>
      <c r="E46" s="211"/>
      <c r="F46" s="211"/>
      <c r="G46" s="211"/>
      <c r="H46" s="114">
        <v>0</v>
      </c>
      <c r="I46" s="76" t="str">
        <f>IF(H44="Single Span","","ft")</f>
        <v/>
      </c>
      <c r="J46" s="12"/>
      <c r="K46" s="12"/>
      <c r="L46" s="12"/>
      <c r="M46" s="36"/>
      <c r="N46" s="12"/>
      <c r="O46" s="12"/>
      <c r="P46" s="12"/>
      <c r="Q46" s="11"/>
      <c r="AA46"/>
      <c r="AB46"/>
      <c r="AC46" s="110">
        <v>0.15</v>
      </c>
      <c r="AD46"/>
      <c r="AE46"/>
      <c r="AF46"/>
      <c r="AG46"/>
      <c r="AH46" s="2"/>
      <c r="AI46"/>
      <c r="AJ46"/>
      <c r="AK46"/>
      <c r="AL46"/>
      <c r="AM46"/>
      <c r="AN46"/>
      <c r="AO46"/>
    </row>
    <row r="47" spans="2:52" ht="15" x14ac:dyDescent="0.25">
      <c r="B47" s="10"/>
      <c r="C47" s="14"/>
      <c r="D47" s="12"/>
      <c r="E47" s="12"/>
      <c r="F47" s="12"/>
      <c r="G47" s="12"/>
      <c r="H47" s="12"/>
      <c r="I47" s="76"/>
      <c r="J47" s="12"/>
      <c r="K47" s="12"/>
      <c r="L47" s="12"/>
      <c r="M47" s="13"/>
      <c r="N47" s="12"/>
      <c r="O47" s="12"/>
      <c r="P47" s="12"/>
      <c r="Q47" s="11"/>
      <c r="AA47"/>
      <c r="AB47"/>
      <c r="AC47" s="110">
        <v>0.13</v>
      </c>
      <c r="AD47"/>
      <c r="AE47"/>
      <c r="AF47"/>
      <c r="AG47"/>
      <c r="AH47" s="2"/>
      <c r="AI47"/>
      <c r="AJ47"/>
      <c r="AK47"/>
      <c r="AL47"/>
      <c r="AM47"/>
      <c r="AN47"/>
      <c r="AO47"/>
    </row>
    <row r="48" spans="2:52" ht="15" x14ac:dyDescent="0.25">
      <c r="B48" s="10"/>
      <c r="C48" s="16" t="s">
        <v>5</v>
      </c>
      <c r="D48" s="12"/>
      <c r="E48" s="12"/>
      <c r="F48" s="12"/>
      <c r="G48" s="12"/>
      <c r="H48" s="12"/>
      <c r="I48" s="76"/>
      <c r="J48" s="12"/>
      <c r="K48" s="12"/>
      <c r="L48" s="12"/>
      <c r="M48" s="12"/>
      <c r="N48" s="12"/>
      <c r="O48" s="12"/>
      <c r="P48" s="12"/>
      <c r="Q48" s="11"/>
      <c r="AA48"/>
      <c r="AB48"/>
      <c r="AC48" s="110">
        <v>0.11</v>
      </c>
      <c r="AD48"/>
      <c r="AE48"/>
      <c r="AF48"/>
      <c r="AG48"/>
      <c r="AH48" s="2"/>
      <c r="AI48"/>
      <c r="AJ48"/>
      <c r="AK48"/>
      <c r="AL48"/>
      <c r="AM48"/>
      <c r="AN48"/>
      <c r="AO48"/>
    </row>
    <row r="49" spans="2:41" ht="15" x14ac:dyDescent="0.25">
      <c r="B49" s="10"/>
      <c r="C49" s="16"/>
      <c r="D49" s="12"/>
      <c r="E49" s="12"/>
      <c r="F49" s="12"/>
      <c r="G49" s="12"/>
      <c r="H49" s="12"/>
      <c r="I49" s="76"/>
      <c r="J49" s="12"/>
      <c r="K49" s="12"/>
      <c r="L49" s="12"/>
      <c r="M49" s="12"/>
      <c r="N49" s="12"/>
      <c r="O49" s="12"/>
      <c r="P49" s="12"/>
      <c r="Q49" s="11"/>
      <c r="AA49"/>
      <c r="AB49"/>
      <c r="AC49"/>
      <c r="AD49"/>
      <c r="AE49"/>
      <c r="AF49"/>
      <c r="AG49"/>
      <c r="AH49" s="2"/>
      <c r="AI49"/>
      <c r="AJ49"/>
      <c r="AK49"/>
      <c r="AL49"/>
      <c r="AM49"/>
      <c r="AN49"/>
      <c r="AO49"/>
    </row>
    <row r="50" spans="2:41" ht="30" customHeight="1" x14ac:dyDescent="0.25">
      <c r="B50" s="10"/>
      <c r="C50" s="169" t="s">
        <v>160</v>
      </c>
      <c r="D50" s="123"/>
      <c r="E50" s="123"/>
      <c r="F50" s="123"/>
      <c r="G50" s="124"/>
      <c r="H50" s="1">
        <f>(1-EXP('Arch Pipe - Ciment.'!AC38))/(2*H40)</f>
        <v>0.31696693851116553</v>
      </c>
      <c r="I50" s="76"/>
      <c r="J50" s="12"/>
      <c r="K50" s="12"/>
      <c r="L50" s="12"/>
      <c r="M50" s="13"/>
      <c r="N50" s="12"/>
      <c r="O50" s="12"/>
      <c r="P50" s="12"/>
      <c r="Q50" s="11"/>
      <c r="AA50"/>
      <c r="AB50"/>
      <c r="AC50"/>
      <c r="AD50"/>
      <c r="AE50"/>
      <c r="AF50"/>
      <c r="AG50"/>
      <c r="AH50" s="2"/>
      <c r="AI50"/>
      <c r="AJ50"/>
      <c r="AK50"/>
      <c r="AL50"/>
      <c r="AM50"/>
      <c r="AN50"/>
      <c r="AO50"/>
    </row>
    <row r="51" spans="2:41" ht="20.100000000000001" customHeight="1" x14ac:dyDescent="0.25">
      <c r="B51" s="10"/>
      <c r="C51" s="159" t="s">
        <v>161</v>
      </c>
      <c r="D51" s="167"/>
      <c r="E51" s="167"/>
      <c r="F51" s="167"/>
      <c r="G51" s="168"/>
      <c r="H51" s="1">
        <f>IF(H44="Single Span",IF(H30&lt;=96,(H28*H29*'Arch Pipe - Ciment.'!AH7)/('Arch Pipe - Ciment.'!AH8*'Arch Pipe - Ciment.'!AH11),0),IF(H30&lt;=(H46*12),(H28*H29*'Arch Pipe - Ciment.'!AH7)/('Arch Pipe - Ciment.'!AH8*'Arch Pipe - Ciment.'!AH11),0))</f>
        <v>12.283480073192148</v>
      </c>
      <c r="I51" s="102" t="s">
        <v>103</v>
      </c>
      <c r="J51" s="12"/>
      <c r="K51" s="12"/>
      <c r="L51" s="12"/>
      <c r="M51" s="12"/>
      <c r="N51" s="12"/>
      <c r="O51" s="12"/>
      <c r="P51" s="12"/>
      <c r="Q51" s="11"/>
      <c r="AA51"/>
      <c r="AB51"/>
      <c r="AC51"/>
      <c r="AD51"/>
      <c r="AE51"/>
      <c r="AF51"/>
      <c r="AG51"/>
      <c r="AH51" s="2"/>
      <c r="AI51"/>
      <c r="AJ51"/>
      <c r="AK51"/>
      <c r="AL51"/>
      <c r="AM51"/>
      <c r="AN51"/>
      <c r="AO51"/>
    </row>
    <row r="52" spans="2:41" ht="35.1" customHeight="1" x14ac:dyDescent="0.25">
      <c r="B52" s="10"/>
      <c r="C52" s="154" t="s">
        <v>184</v>
      </c>
      <c r="D52" s="181"/>
      <c r="E52" s="181"/>
      <c r="F52" s="181"/>
      <c r="G52" s="182"/>
      <c r="H52" s="1">
        <f>'Arch Pipe - Ciment.'!AH18</f>
        <v>0.52827823085194259</v>
      </c>
      <c r="I52" s="102" t="s">
        <v>103</v>
      </c>
      <c r="J52" s="12"/>
      <c r="K52" s="12"/>
      <c r="L52" s="12"/>
      <c r="M52" s="12"/>
      <c r="N52" s="12"/>
      <c r="O52" s="12"/>
      <c r="P52" s="12"/>
      <c r="Q52" s="11"/>
      <c r="AA52"/>
      <c r="AB52"/>
      <c r="AC52"/>
      <c r="AD52"/>
      <c r="AE52"/>
      <c r="AF52"/>
      <c r="AG52"/>
      <c r="AH52" s="2"/>
      <c r="AI52"/>
      <c r="AJ52"/>
      <c r="AK52"/>
      <c r="AL52"/>
      <c r="AM52"/>
      <c r="AN52"/>
      <c r="AO52"/>
    </row>
    <row r="53" spans="2:41" ht="20.100000000000001" customHeight="1" x14ac:dyDescent="0.25">
      <c r="B53" s="10"/>
      <c r="C53" s="159" t="s">
        <v>163</v>
      </c>
      <c r="D53" s="160"/>
      <c r="E53" s="160"/>
      <c r="F53" s="160"/>
      <c r="G53" s="161"/>
      <c r="H53" s="1">
        <f>'Arch Pipe - Ciment.'!AH20</f>
        <v>0</v>
      </c>
      <c r="I53" s="102" t="s">
        <v>103</v>
      </c>
      <c r="J53" s="12"/>
      <c r="K53" s="12"/>
      <c r="L53" s="12"/>
      <c r="M53" s="12"/>
      <c r="N53" s="12"/>
      <c r="O53" s="12"/>
      <c r="P53" s="12"/>
      <c r="Q53" s="11"/>
      <c r="AA53"/>
      <c r="AB53"/>
      <c r="AC53"/>
      <c r="AD53"/>
      <c r="AE53"/>
      <c r="AF53"/>
      <c r="AG53"/>
      <c r="AH53" s="2"/>
      <c r="AI53"/>
      <c r="AJ53"/>
      <c r="AK53"/>
      <c r="AL53"/>
      <c r="AM53"/>
      <c r="AN53"/>
      <c r="AO53"/>
    </row>
    <row r="54" spans="2:41" ht="15" x14ac:dyDescent="0.25">
      <c r="B54" s="10"/>
      <c r="C54" s="12"/>
      <c r="D54" s="12"/>
      <c r="E54" s="12"/>
      <c r="F54" s="12"/>
      <c r="G54" s="12"/>
      <c r="H54" s="12"/>
      <c r="I54" s="76"/>
      <c r="J54" s="12"/>
      <c r="K54" s="12"/>
      <c r="L54" s="12"/>
      <c r="M54" s="12"/>
      <c r="N54" s="12"/>
      <c r="O54" s="12"/>
      <c r="P54" s="12"/>
      <c r="Q54" s="11"/>
      <c r="AA54"/>
      <c r="AB54"/>
      <c r="AC54"/>
      <c r="AD54"/>
      <c r="AE54"/>
      <c r="AF54"/>
      <c r="AG54"/>
      <c r="AH54" s="2"/>
      <c r="AI54"/>
      <c r="AJ54"/>
      <c r="AK54"/>
      <c r="AL54"/>
      <c r="AM54"/>
      <c r="AN54"/>
      <c r="AO54"/>
    </row>
    <row r="55" spans="2:41" ht="15" customHeight="1" x14ac:dyDescent="0.25">
      <c r="B55" s="10"/>
      <c r="C55" s="212" t="str">
        <f>IF(H44="Single Span",IF(H30&lt;=96,"","Note: The effects of live load is neglected."),IF(H30&lt;=(H46*12),"","Note: The effects of live load is neglected."))</f>
        <v/>
      </c>
      <c r="D55" s="212"/>
      <c r="E55" s="212"/>
      <c r="F55" s="212"/>
      <c r="G55" s="212"/>
      <c r="H55" s="12"/>
      <c r="I55" s="76"/>
      <c r="J55" s="12"/>
      <c r="K55" s="12"/>
      <c r="L55" s="12"/>
      <c r="M55" s="12"/>
      <c r="N55" s="12"/>
      <c r="O55" s="12"/>
      <c r="P55" s="12"/>
      <c r="Q55" s="11"/>
      <c r="AA55"/>
      <c r="AB55"/>
      <c r="AC55"/>
      <c r="AD55"/>
      <c r="AE55"/>
      <c r="AF55"/>
      <c r="AG55"/>
      <c r="AH55" s="2"/>
      <c r="AI55"/>
      <c r="AJ55"/>
      <c r="AK55"/>
      <c r="AL55"/>
      <c r="AM55"/>
      <c r="AN55"/>
      <c r="AO55"/>
    </row>
    <row r="56" spans="2:41" ht="54.95" customHeight="1" x14ac:dyDescent="0.25">
      <c r="B56" s="10"/>
      <c r="C56" s="213" t="str">
        <f>IF(H44="Single Span",IF(H30&lt;=96,"","Per AASHTO LRFD Bridge Design Specifications, 8th Ed, Section 3.6.1.2.6a: For single-span culverts, the effects of live load may be neglected where the depth of fill is more than 8.0 ft. and exceeds the span length."),IF(H30&lt;=(H46*12),"","Per AASHTO LRFD Bridge Design Specifications, 8th Ed, Section 3.6.1.2.6a: For multiple span culverts, the effects of live load may be neglected where the depth of fill exceeds the distance between inside faces of end walls."))</f>
        <v/>
      </c>
      <c r="D56" s="213"/>
      <c r="E56" s="213"/>
      <c r="F56" s="213"/>
      <c r="G56" s="213"/>
      <c r="H56" s="12"/>
      <c r="I56" s="76"/>
      <c r="J56" s="12"/>
      <c r="K56" s="12"/>
      <c r="L56" s="12"/>
      <c r="M56" s="12"/>
      <c r="N56" s="12"/>
      <c r="O56" s="12"/>
      <c r="P56" s="12"/>
      <c r="Q56" s="11"/>
      <c r="AA56"/>
      <c r="AB56"/>
      <c r="AC56"/>
      <c r="AD56"/>
      <c r="AE56"/>
      <c r="AF56"/>
      <c r="AG56"/>
      <c r="AH56" s="2"/>
      <c r="AI56"/>
      <c r="AJ56"/>
      <c r="AK56"/>
      <c r="AL56"/>
      <c r="AM56"/>
      <c r="AN56"/>
      <c r="AO56"/>
    </row>
    <row r="57" spans="2:41" ht="15" x14ac:dyDescent="0.25">
      <c r="B57" s="10"/>
      <c r="C57" s="12"/>
      <c r="D57" s="12"/>
      <c r="E57" s="12"/>
      <c r="F57" s="12"/>
      <c r="G57" s="12"/>
      <c r="H57" s="12"/>
      <c r="I57" s="76"/>
      <c r="J57" s="12"/>
      <c r="K57" s="12"/>
      <c r="L57" s="12"/>
      <c r="M57" s="12"/>
      <c r="N57" s="12"/>
      <c r="O57" s="12"/>
      <c r="P57" s="12"/>
      <c r="Q57" s="11"/>
      <c r="AA57"/>
      <c r="AB57"/>
      <c r="AC57"/>
      <c r="AD57"/>
      <c r="AE57"/>
      <c r="AF57"/>
      <c r="AG57"/>
      <c r="AH57" s="2"/>
      <c r="AI57"/>
      <c r="AJ57"/>
      <c r="AK57"/>
      <c r="AL57"/>
      <c r="AM57"/>
      <c r="AN57"/>
      <c r="AO57"/>
    </row>
    <row r="58" spans="2:41" ht="15" x14ac:dyDescent="0.25">
      <c r="B58" s="10"/>
      <c r="C58" s="12"/>
      <c r="D58" s="12"/>
      <c r="E58" s="12"/>
      <c r="F58" s="12"/>
      <c r="G58" s="12"/>
      <c r="H58" s="12"/>
      <c r="I58" s="76"/>
      <c r="J58" s="12"/>
      <c r="K58" s="12"/>
      <c r="L58" s="12"/>
      <c r="M58" s="12"/>
      <c r="N58" s="12"/>
      <c r="O58" s="12"/>
      <c r="P58" s="12"/>
      <c r="Q58" s="11"/>
      <c r="AA58"/>
      <c r="AB58"/>
      <c r="AC58"/>
      <c r="AD58"/>
      <c r="AE58"/>
      <c r="AF58"/>
      <c r="AG58"/>
      <c r="AH58" s="2"/>
      <c r="AI58"/>
      <c r="AJ58"/>
      <c r="AK58"/>
      <c r="AL58"/>
      <c r="AM58"/>
      <c r="AN58"/>
      <c r="AO58"/>
    </row>
    <row r="59" spans="2:41" ht="15" customHeight="1" x14ac:dyDescent="0.25">
      <c r="B59" s="10"/>
      <c r="C59" s="14" t="s">
        <v>16</v>
      </c>
      <c r="D59" s="12"/>
      <c r="E59" s="12"/>
      <c r="F59" s="12"/>
      <c r="G59" s="12"/>
      <c r="H59" s="12"/>
      <c r="I59" s="76"/>
      <c r="J59" s="12"/>
      <c r="K59" s="12"/>
      <c r="L59" s="12"/>
      <c r="M59" s="12"/>
      <c r="N59" s="12"/>
      <c r="O59" s="12"/>
      <c r="P59" s="12"/>
      <c r="Q59" s="11"/>
      <c r="AA59"/>
      <c r="AB59"/>
      <c r="AC59"/>
      <c r="AD59"/>
      <c r="AE59"/>
      <c r="AF59"/>
      <c r="AG59"/>
      <c r="AH59" s="2"/>
      <c r="AI59"/>
      <c r="AJ59"/>
      <c r="AK59"/>
      <c r="AL59"/>
      <c r="AM59"/>
      <c r="AN59"/>
      <c r="AO59"/>
    </row>
    <row r="60" spans="2:41" ht="15" x14ac:dyDescent="0.25">
      <c r="B60" s="10"/>
      <c r="C60" s="17"/>
      <c r="D60" s="12"/>
      <c r="E60" s="12"/>
      <c r="F60" s="12"/>
      <c r="G60" s="12"/>
      <c r="H60" s="12"/>
      <c r="I60" s="76"/>
      <c r="J60" s="12"/>
      <c r="K60" s="12"/>
      <c r="L60" s="12"/>
      <c r="M60" s="12"/>
      <c r="N60" s="12"/>
      <c r="O60" s="12"/>
      <c r="P60" s="12"/>
      <c r="Q60" s="11"/>
      <c r="AA60"/>
      <c r="AB60"/>
      <c r="AC60"/>
      <c r="AD60"/>
      <c r="AE60"/>
      <c r="AF60"/>
      <c r="AG60"/>
      <c r="AH60" s="2"/>
      <c r="AI60"/>
      <c r="AJ60"/>
      <c r="AK60"/>
      <c r="AL60"/>
      <c r="AM60"/>
      <c r="AN60"/>
      <c r="AO60"/>
    </row>
    <row r="61" spans="2:41" ht="30" customHeight="1" x14ac:dyDescent="0.25">
      <c r="B61" s="10"/>
      <c r="C61" s="169" t="s">
        <v>162</v>
      </c>
      <c r="D61" s="123"/>
      <c r="E61" s="123"/>
      <c r="F61" s="123"/>
      <c r="G61" s="124"/>
      <c r="H61" s="6">
        <v>1</v>
      </c>
      <c r="I61" s="102" t="s">
        <v>119</v>
      </c>
      <c r="J61" s="12"/>
      <c r="K61" s="12"/>
      <c r="L61" s="12"/>
      <c r="M61" s="36"/>
      <c r="N61" s="12"/>
      <c r="O61" s="12"/>
      <c r="P61" s="12"/>
      <c r="Q61" s="11"/>
      <c r="AA61"/>
      <c r="AB61"/>
      <c r="AC61"/>
      <c r="AD61"/>
      <c r="AE61"/>
      <c r="AF61"/>
      <c r="AG61"/>
      <c r="AH61" s="2"/>
      <c r="AI61"/>
      <c r="AJ61"/>
      <c r="AK61"/>
      <c r="AL61"/>
      <c r="AM61"/>
      <c r="AN61"/>
      <c r="AO61"/>
    </row>
    <row r="62" spans="2:41" ht="30" customHeight="1" x14ac:dyDescent="0.25">
      <c r="B62" s="10"/>
      <c r="C62" s="122" t="s">
        <v>144</v>
      </c>
      <c r="D62" s="123"/>
      <c r="E62" s="123"/>
      <c r="F62" s="123"/>
      <c r="G62" s="124"/>
      <c r="H62" s="6" t="s">
        <v>142</v>
      </c>
      <c r="I62" s="76"/>
      <c r="J62" s="12"/>
      <c r="K62" s="12"/>
      <c r="L62" s="12"/>
      <c r="M62" s="36"/>
      <c r="N62" s="12"/>
      <c r="O62" s="12"/>
      <c r="P62" s="12"/>
      <c r="Q62" s="11"/>
      <c r="AA62"/>
      <c r="AB62"/>
      <c r="AC62"/>
      <c r="AD62"/>
      <c r="AE62"/>
      <c r="AF62"/>
      <c r="AG62"/>
      <c r="AH62" s="2"/>
      <c r="AI62"/>
      <c r="AJ62"/>
      <c r="AK62"/>
      <c r="AL62"/>
      <c r="AM62"/>
      <c r="AN62"/>
      <c r="AO62"/>
    </row>
    <row r="63" spans="2:41" ht="30" customHeight="1" x14ac:dyDescent="0.25">
      <c r="B63" s="10"/>
      <c r="C63" s="179" t="str">
        <f>IF(H62="No","c  Distance from the Centroid of the Liner Pipe Wall Profile to the Interior Wall Surface - See figure 8-3","")</f>
        <v>c  Distance from the Centroid of the Liner Pipe Wall Profile to the Interior Wall Surface - See figure 8-3</v>
      </c>
      <c r="D63" s="179"/>
      <c r="E63" s="179"/>
      <c r="F63" s="179"/>
      <c r="G63" s="179"/>
      <c r="H63" s="112">
        <v>0.63700000000000001</v>
      </c>
      <c r="I63" s="77" t="str">
        <f>IF(H62="No","in.","")</f>
        <v>in.</v>
      </c>
      <c r="J63" s="12"/>
      <c r="K63" s="12"/>
      <c r="L63" s="12"/>
      <c r="M63" s="68"/>
      <c r="N63" s="12"/>
      <c r="O63" s="12"/>
      <c r="P63" s="12"/>
      <c r="Q63" s="11"/>
      <c r="T63" s="115">
        <f>IF(H62="Yes",0.5*H61,H63)</f>
        <v>0.63700000000000001</v>
      </c>
      <c r="U63" s="113" t="s">
        <v>119</v>
      </c>
      <c r="AA63"/>
      <c r="AB63"/>
      <c r="AC63"/>
      <c r="AD63"/>
      <c r="AE63"/>
      <c r="AF63"/>
      <c r="AG63"/>
      <c r="AH63" s="2"/>
      <c r="AI63"/>
      <c r="AJ63"/>
      <c r="AK63"/>
      <c r="AL63"/>
      <c r="AM63"/>
      <c r="AN63"/>
      <c r="AO63"/>
    </row>
    <row r="64" spans="2:41" ht="20.100000000000001" customHeight="1" x14ac:dyDescent="0.25">
      <c r="B64" s="10"/>
      <c r="C64" s="191" t="str">
        <f>IF(H62="No","I  SAPL Area Moment of Inertia of the Liner Wall Section","")</f>
        <v>I  SAPL Area Moment of Inertia of the Liner Wall Section</v>
      </c>
      <c r="D64" s="191"/>
      <c r="E64" s="191"/>
      <c r="F64" s="191"/>
      <c r="G64" s="191"/>
      <c r="H64" s="112">
        <v>0.18140000000000001</v>
      </c>
      <c r="I64" s="77" t="str">
        <f>IF(H62="No","in.4/in","")</f>
        <v>in.4/in</v>
      </c>
      <c r="J64" s="12"/>
      <c r="K64" s="12"/>
      <c r="L64" s="12"/>
      <c r="M64" s="36"/>
      <c r="N64" s="12"/>
      <c r="O64" s="12"/>
      <c r="P64" s="12"/>
      <c r="Q64" s="11"/>
      <c r="T64" s="115">
        <f>IF(H62="Yes",(H61^3)/12,H64)</f>
        <v>0.18140000000000001</v>
      </c>
      <c r="U64" s="113" t="s">
        <v>143</v>
      </c>
      <c r="AA64"/>
      <c r="AB64"/>
      <c r="AC64"/>
      <c r="AD64"/>
      <c r="AE64"/>
      <c r="AF64"/>
      <c r="AG64"/>
      <c r="AH64" s="2"/>
      <c r="AI64"/>
      <c r="AJ64"/>
      <c r="AK64"/>
      <c r="AL64"/>
      <c r="AM64"/>
      <c r="AN64"/>
      <c r="AO64"/>
    </row>
    <row r="65" spans="2:41" ht="20.100000000000001" customHeight="1" x14ac:dyDescent="0.25">
      <c r="B65" s="10"/>
      <c r="C65" s="12"/>
      <c r="D65" s="12"/>
      <c r="E65" s="12"/>
      <c r="F65" s="12"/>
      <c r="G65" s="12"/>
      <c r="H65" s="12"/>
      <c r="I65" s="76"/>
      <c r="J65" s="12"/>
      <c r="K65" s="12"/>
      <c r="L65" s="12"/>
      <c r="M65" s="36"/>
      <c r="N65" s="12"/>
      <c r="O65" s="12"/>
      <c r="P65" s="12"/>
      <c r="Q65" s="11"/>
      <c r="AA65"/>
      <c r="AB65"/>
      <c r="AC65" s="183" t="s">
        <v>242</v>
      </c>
      <c r="AD65" s="184"/>
      <c r="AE65" s="184"/>
      <c r="AF65" s="184"/>
      <c r="AG65" s="185"/>
      <c r="AH65" s="3">
        <f>(H35-H32)/H31</f>
        <v>33.04347826086957</v>
      </c>
      <c r="AI65"/>
      <c r="AJ65"/>
      <c r="AK65"/>
      <c r="AL65"/>
      <c r="AM65"/>
      <c r="AN65"/>
      <c r="AO65"/>
    </row>
    <row r="66" spans="2:41" ht="45" customHeight="1" x14ac:dyDescent="0.25">
      <c r="B66" s="10"/>
      <c r="C66" s="162" t="s">
        <v>164</v>
      </c>
      <c r="D66" s="163"/>
      <c r="E66" s="163"/>
      <c r="F66" s="163"/>
      <c r="G66" s="164"/>
      <c r="H66" s="6">
        <v>-8390</v>
      </c>
      <c r="I66" s="102" t="s">
        <v>103</v>
      </c>
      <c r="J66" s="12"/>
      <c r="K66" s="12"/>
      <c r="L66" s="12"/>
      <c r="M66" s="13"/>
      <c r="N66" s="12"/>
      <c r="O66" s="12"/>
      <c r="P66" s="12"/>
      <c r="Q66" s="11"/>
      <c r="AA66"/>
      <c r="AB66"/>
      <c r="AI66"/>
      <c r="AJ66"/>
      <c r="AK66"/>
      <c r="AL66"/>
      <c r="AM66"/>
      <c r="AN66"/>
      <c r="AO66"/>
    </row>
    <row r="67" spans="2:41" ht="60" customHeight="1" x14ac:dyDescent="0.2">
      <c r="B67" s="10"/>
      <c r="C67" s="162" t="s">
        <v>165</v>
      </c>
      <c r="D67" s="163"/>
      <c r="E67" s="163"/>
      <c r="F67" s="163"/>
      <c r="G67" s="164"/>
      <c r="H67" s="6">
        <v>1665</v>
      </c>
      <c r="I67" s="102" t="s">
        <v>103</v>
      </c>
      <c r="J67" s="12"/>
      <c r="K67" s="12"/>
      <c r="L67" s="12"/>
      <c r="M67" s="12"/>
      <c r="N67" s="12"/>
      <c r="O67" s="12"/>
      <c r="P67" s="12"/>
      <c r="Q67" s="11"/>
      <c r="AH67" s="3">
        <f>IF(H30&lt;AH65,H32+H31*H30,H32+H35+H31*H30)</f>
        <v>37.599999999999994</v>
      </c>
    </row>
    <row r="68" spans="2:41" ht="20.100000000000001" customHeight="1" x14ac:dyDescent="0.2">
      <c r="B68" s="10"/>
      <c r="C68" s="154" t="s">
        <v>166</v>
      </c>
      <c r="D68" s="155"/>
      <c r="E68" s="155"/>
      <c r="F68" s="155"/>
      <c r="G68" s="156"/>
      <c r="H68" s="6">
        <v>1</v>
      </c>
      <c r="I68" s="76"/>
      <c r="J68" s="12"/>
      <c r="K68" s="12"/>
      <c r="L68" s="12"/>
      <c r="M68" s="12"/>
      <c r="N68" s="12"/>
      <c r="O68" s="12"/>
      <c r="P68" s="12"/>
      <c r="Q68" s="11"/>
    </row>
    <row r="69" spans="2:41" ht="20.100000000000001" customHeight="1" x14ac:dyDescent="0.2">
      <c r="B69" s="10"/>
      <c r="C69" s="154" t="s">
        <v>167</v>
      </c>
      <c r="D69" s="155"/>
      <c r="E69" s="155"/>
      <c r="F69" s="155"/>
      <c r="G69" s="156"/>
      <c r="H69" s="6">
        <v>1.3</v>
      </c>
      <c r="I69" s="76"/>
      <c r="J69" s="12"/>
      <c r="K69" s="12"/>
      <c r="L69" s="12"/>
      <c r="M69" s="12"/>
      <c r="N69" s="12"/>
      <c r="O69" s="12"/>
      <c r="P69" s="12"/>
      <c r="Q69" s="11"/>
    </row>
    <row r="70" spans="2:41" ht="20.100000000000001" customHeight="1" x14ac:dyDescent="0.2">
      <c r="B70" s="10"/>
      <c r="C70" s="159" t="s">
        <v>168</v>
      </c>
      <c r="D70" s="160"/>
      <c r="E70" s="160"/>
      <c r="F70" s="160"/>
      <c r="G70" s="161"/>
      <c r="H70" s="6">
        <v>1</v>
      </c>
      <c r="I70" s="76"/>
      <c r="J70" s="12"/>
      <c r="K70" s="12"/>
      <c r="L70" s="12"/>
      <c r="M70" s="68"/>
      <c r="N70" s="12"/>
      <c r="O70" s="12"/>
      <c r="P70" s="12"/>
      <c r="Q70" s="11"/>
    </row>
    <row r="71" spans="2:41" ht="20.100000000000001" customHeight="1" x14ac:dyDescent="0.2">
      <c r="B71" s="10"/>
      <c r="C71" s="159" t="s">
        <v>169</v>
      </c>
      <c r="D71" s="160"/>
      <c r="E71" s="160"/>
      <c r="F71" s="160"/>
      <c r="G71" s="161"/>
      <c r="H71" s="6">
        <v>1</v>
      </c>
      <c r="I71" s="76"/>
      <c r="J71" s="12"/>
      <c r="K71" s="12"/>
      <c r="L71" s="12"/>
      <c r="M71" s="12"/>
      <c r="N71" s="12"/>
      <c r="O71" s="12"/>
      <c r="P71" s="12"/>
      <c r="Q71" s="11"/>
    </row>
    <row r="72" spans="2:41" ht="20.100000000000001" customHeight="1" x14ac:dyDescent="0.2">
      <c r="B72" s="10"/>
      <c r="C72" s="154" t="s">
        <v>170</v>
      </c>
      <c r="D72" s="155"/>
      <c r="E72" s="155"/>
      <c r="F72" s="155"/>
      <c r="G72" s="156"/>
      <c r="H72" s="6">
        <v>1.75</v>
      </c>
      <c r="I72" s="76"/>
      <c r="J72" s="12"/>
      <c r="K72" s="12"/>
      <c r="L72" s="12"/>
      <c r="M72" s="12"/>
      <c r="N72" s="12"/>
      <c r="O72" s="12"/>
      <c r="P72" s="12"/>
      <c r="Q72" s="11"/>
    </row>
    <row r="73" spans="2:41" ht="30" customHeight="1" x14ac:dyDescent="0.2">
      <c r="B73" s="10"/>
      <c r="C73" s="154" t="s">
        <v>171</v>
      </c>
      <c r="D73" s="155"/>
      <c r="E73" s="155"/>
      <c r="F73" s="155"/>
      <c r="G73" s="156"/>
      <c r="H73" s="6">
        <v>1</v>
      </c>
      <c r="I73" s="76"/>
      <c r="J73" s="12"/>
      <c r="K73" s="12"/>
      <c r="L73" s="12"/>
      <c r="M73" s="36"/>
      <c r="N73" s="12"/>
      <c r="O73" s="12"/>
      <c r="P73" s="12"/>
      <c r="Q73" s="11"/>
    </row>
    <row r="74" spans="2:41" ht="30" customHeight="1" x14ac:dyDescent="0.2">
      <c r="B74" s="10"/>
      <c r="C74" s="154" t="s">
        <v>233</v>
      </c>
      <c r="D74" s="155"/>
      <c r="E74" s="155"/>
      <c r="F74" s="155"/>
      <c r="G74" s="156"/>
      <c r="H74" s="6">
        <v>1.05</v>
      </c>
      <c r="I74" s="76"/>
      <c r="J74" s="12"/>
      <c r="K74" s="12"/>
      <c r="L74" s="12"/>
      <c r="M74" s="12"/>
      <c r="N74" s="12"/>
      <c r="O74" s="12"/>
      <c r="P74" s="12"/>
      <c r="Q74" s="11"/>
    </row>
    <row r="75" spans="2:41" ht="30" customHeight="1" x14ac:dyDescent="0.2">
      <c r="B75" s="10"/>
      <c r="C75" s="154" t="s">
        <v>234</v>
      </c>
      <c r="D75" s="155"/>
      <c r="E75" s="155"/>
      <c r="F75" s="155"/>
      <c r="G75" s="156"/>
      <c r="H75" s="6">
        <v>1</v>
      </c>
      <c r="I75" s="76"/>
      <c r="J75" s="12"/>
      <c r="K75" s="12"/>
      <c r="L75" s="12"/>
      <c r="M75" s="12"/>
      <c r="N75" s="12"/>
      <c r="O75" s="12"/>
      <c r="P75" s="12"/>
      <c r="Q75" s="11"/>
    </row>
    <row r="76" spans="2:41" ht="30" customHeight="1" x14ac:dyDescent="0.2">
      <c r="B76" s="10"/>
      <c r="C76" s="154" t="s">
        <v>172</v>
      </c>
      <c r="D76" s="155"/>
      <c r="E76" s="155"/>
      <c r="F76" s="155"/>
      <c r="G76" s="156"/>
      <c r="H76" s="6">
        <v>1</v>
      </c>
      <c r="I76" s="76"/>
      <c r="J76" s="12"/>
      <c r="K76" s="12"/>
      <c r="L76" s="12"/>
      <c r="M76" s="12"/>
      <c r="N76" s="12"/>
      <c r="O76" s="12"/>
      <c r="P76" s="12"/>
      <c r="Q76" s="11"/>
    </row>
    <row r="77" spans="2:41" ht="15" x14ac:dyDescent="0.25">
      <c r="B77" s="10"/>
      <c r="C77" s="17"/>
      <c r="D77" s="12"/>
      <c r="E77" s="12"/>
      <c r="F77" s="12"/>
      <c r="G77" s="12"/>
      <c r="H77" s="18"/>
      <c r="I77" s="76"/>
      <c r="J77" s="12"/>
      <c r="K77" s="12"/>
      <c r="L77" s="12"/>
      <c r="M77" s="36"/>
      <c r="N77" s="12"/>
      <c r="O77" s="12"/>
      <c r="P77" s="12"/>
      <c r="Q77" s="11"/>
    </row>
    <row r="78" spans="2:41" ht="15" x14ac:dyDescent="0.25">
      <c r="B78" s="10"/>
      <c r="C78" s="14" t="s">
        <v>17</v>
      </c>
      <c r="D78" s="12"/>
      <c r="E78" s="12"/>
      <c r="F78" s="12"/>
      <c r="G78" s="12"/>
      <c r="H78" s="18"/>
      <c r="I78" s="76"/>
      <c r="J78" s="12"/>
      <c r="K78" s="12"/>
      <c r="L78" s="12"/>
      <c r="M78" s="36"/>
      <c r="N78" s="12"/>
      <c r="O78" s="12"/>
      <c r="P78" s="12"/>
      <c r="Q78" s="11"/>
    </row>
    <row r="79" spans="2:41" ht="15" x14ac:dyDescent="0.25">
      <c r="B79" s="10"/>
      <c r="C79" s="12"/>
      <c r="D79" s="12"/>
      <c r="E79" s="12"/>
      <c r="F79" s="12"/>
      <c r="G79" s="12"/>
      <c r="H79" s="18"/>
      <c r="I79" s="76"/>
      <c r="J79" s="12"/>
      <c r="K79" s="12"/>
      <c r="L79" s="12"/>
      <c r="M79" s="13"/>
      <c r="N79" s="12"/>
      <c r="O79" s="12"/>
      <c r="P79" s="12"/>
      <c r="Q79" s="11"/>
    </row>
    <row r="80" spans="2:41" ht="15" x14ac:dyDescent="0.25">
      <c r="B80" s="10"/>
      <c r="C80" s="14" t="s">
        <v>124</v>
      </c>
      <c r="D80" s="12"/>
      <c r="E80" s="12"/>
      <c r="F80" s="12"/>
      <c r="G80" s="12"/>
      <c r="H80" s="18"/>
      <c r="I80" s="76"/>
      <c r="J80" s="12"/>
      <c r="K80" s="12"/>
      <c r="L80" s="12"/>
      <c r="M80" s="36"/>
      <c r="N80" s="12"/>
      <c r="O80" s="12"/>
      <c r="P80" s="12"/>
      <c r="Q80" s="11"/>
    </row>
    <row r="81" spans="2:17" ht="20.100000000000001" customHeight="1" x14ac:dyDescent="0.25">
      <c r="B81" s="10"/>
      <c r="C81" s="97" t="s">
        <v>63</v>
      </c>
      <c r="D81" s="12"/>
      <c r="E81" s="12"/>
      <c r="F81" s="12"/>
      <c r="G81" s="12"/>
      <c r="H81" s="18"/>
      <c r="I81" s="76"/>
      <c r="J81" s="12"/>
      <c r="K81" s="12"/>
      <c r="L81" s="12"/>
      <c r="M81" s="36"/>
      <c r="N81" s="12"/>
      <c r="O81" s="12"/>
      <c r="P81" s="12"/>
      <c r="Q81" s="11"/>
    </row>
    <row r="82" spans="2:17" ht="20.100000000000001" customHeight="1" x14ac:dyDescent="0.25">
      <c r="B82" s="10"/>
      <c r="C82" s="148" t="s">
        <v>185</v>
      </c>
      <c r="D82" s="149"/>
      <c r="E82" s="149"/>
      <c r="F82" s="149"/>
      <c r="G82" s="150"/>
      <c r="H82" s="1">
        <f>0.8323*(H68*H52+'Arch Pipe - Ciment.'!AH19*'Arch Pipe - Ciment.'!H71*H51)*H23+H53</f>
        <v>209.27487338308521</v>
      </c>
      <c r="I82" s="102" t="s">
        <v>120</v>
      </c>
      <c r="J82" s="12"/>
      <c r="K82" s="12"/>
      <c r="L82" s="12"/>
      <c r="M82" s="13"/>
      <c r="N82" s="12"/>
      <c r="O82" s="12"/>
      <c r="P82" s="12"/>
      <c r="Q82" s="11"/>
    </row>
    <row r="83" spans="2:17" ht="30" customHeight="1" x14ac:dyDescent="0.2">
      <c r="B83" s="10"/>
      <c r="C83" s="122" t="s">
        <v>174</v>
      </c>
      <c r="D83" s="152"/>
      <c r="E83" s="152"/>
      <c r="F83" s="152"/>
      <c r="G83" s="153"/>
      <c r="H83" s="1">
        <f>H61</f>
        <v>1</v>
      </c>
      <c r="I83" s="102" t="s">
        <v>121</v>
      </c>
      <c r="J83" s="12"/>
      <c r="K83" s="12"/>
      <c r="L83" s="12"/>
      <c r="M83" s="36"/>
      <c r="N83" s="12"/>
      <c r="O83" s="12"/>
      <c r="P83" s="12"/>
      <c r="Q83" s="11"/>
    </row>
    <row r="84" spans="2:17" ht="20.100000000000001" customHeight="1" x14ac:dyDescent="0.2">
      <c r="B84" s="10"/>
      <c r="C84" s="148" t="s">
        <v>175</v>
      </c>
      <c r="D84" s="149"/>
      <c r="E84" s="149"/>
      <c r="F84" s="149"/>
      <c r="G84" s="150"/>
      <c r="H84" s="1">
        <f>0.0062*'Arch Pipe - Ciment.'!AH19*'Arch Pipe - Ciment.'!H71*H51*(H23^2)</f>
        <v>51.545968452442395</v>
      </c>
      <c r="I84" s="102" t="s">
        <v>122</v>
      </c>
      <c r="J84" s="12"/>
      <c r="K84" s="12"/>
      <c r="L84" s="12"/>
      <c r="M84" s="12"/>
      <c r="N84" s="12"/>
      <c r="O84" s="12"/>
      <c r="P84" s="12"/>
      <c r="Q84" s="11"/>
    </row>
    <row r="85" spans="2:17" ht="30" customHeight="1" x14ac:dyDescent="0.2">
      <c r="B85" s="10"/>
      <c r="C85" s="148" t="s">
        <v>186</v>
      </c>
      <c r="D85" s="149"/>
      <c r="E85" s="149"/>
      <c r="F85" s="149"/>
      <c r="G85" s="150"/>
      <c r="H85" s="1">
        <f>(-(H82/H83))+((H84*T63)/T64)</f>
        <v>-28.2672553885659</v>
      </c>
      <c r="I85" s="102" t="s">
        <v>103</v>
      </c>
      <c r="J85" s="151" t="str">
        <f>IF(H85&gt;=H66,IF(H85&lt;=H67,"Stress within limits. The "&amp;H61&amp;"-in. thick liner is sufficient.","Stress exceeds limits. The "&amp;H61&amp;"-in. thick liner is not sufficient."),"Stress exceeds limits. The "&amp;H61&amp;"-in. thick liner is not sufficient.")</f>
        <v>Stress within limits. The 1-in. thick liner is sufficient.</v>
      </c>
      <c r="K85" s="151"/>
      <c r="L85" s="151"/>
      <c r="M85" s="151"/>
      <c r="N85" s="151"/>
      <c r="O85" s="151"/>
      <c r="P85" s="12"/>
      <c r="Q85" s="11"/>
    </row>
    <row r="86" spans="2:17" ht="15" x14ac:dyDescent="0.25">
      <c r="B86" s="10"/>
      <c r="C86" s="12"/>
      <c r="D86" s="12"/>
      <c r="E86" s="12"/>
      <c r="F86" s="12"/>
      <c r="G86" s="12"/>
      <c r="H86" s="18"/>
      <c r="I86" s="76"/>
      <c r="J86" s="52"/>
      <c r="K86" s="52"/>
      <c r="L86" s="52"/>
      <c r="M86" s="52"/>
      <c r="N86" s="52"/>
      <c r="O86" s="52"/>
      <c r="P86" s="12"/>
      <c r="Q86" s="11"/>
    </row>
    <row r="87" spans="2:17" ht="20.100000000000001" customHeight="1" x14ac:dyDescent="0.25">
      <c r="B87" s="10"/>
      <c r="C87" s="97" t="s">
        <v>64</v>
      </c>
      <c r="D87" s="12"/>
      <c r="E87" s="12"/>
      <c r="F87" s="12"/>
      <c r="G87" s="12"/>
      <c r="H87" s="18"/>
      <c r="I87" s="76"/>
      <c r="J87" s="12"/>
      <c r="K87" s="12"/>
      <c r="L87" s="12"/>
      <c r="M87" s="13"/>
      <c r="N87" s="12"/>
      <c r="O87" s="12"/>
      <c r="P87" s="12"/>
      <c r="Q87" s="11"/>
    </row>
    <row r="88" spans="2:17" ht="20.100000000000001" customHeight="1" x14ac:dyDescent="0.2">
      <c r="B88" s="10"/>
      <c r="C88" s="148" t="s">
        <v>185</v>
      </c>
      <c r="D88" s="149"/>
      <c r="E88" s="149"/>
      <c r="F88" s="149"/>
      <c r="G88" s="150"/>
      <c r="H88" s="1">
        <f>0.8323*(H23/H24)*(H68*H52+'Arch Pipe - Ciment.'!AH19*'Arch Pipe - Ciment.'!H71*H51)*H25*0.5+H53</f>
        <v>67.385560136957139</v>
      </c>
      <c r="I88" s="102" t="s">
        <v>120</v>
      </c>
      <c r="J88" s="15"/>
      <c r="K88" s="15"/>
      <c r="L88" s="15"/>
      <c r="M88" s="15"/>
      <c r="N88" s="15"/>
      <c r="O88" s="15"/>
      <c r="P88" s="15"/>
      <c r="Q88" s="11"/>
    </row>
    <row r="89" spans="2:17" ht="30" customHeight="1" x14ac:dyDescent="0.2">
      <c r="B89" s="10"/>
      <c r="C89" s="122" t="s">
        <v>174</v>
      </c>
      <c r="D89" s="152"/>
      <c r="E89" s="152"/>
      <c r="F89" s="152"/>
      <c r="G89" s="153"/>
      <c r="H89" s="1">
        <f>H61</f>
        <v>1</v>
      </c>
      <c r="I89" s="102" t="s">
        <v>121</v>
      </c>
      <c r="J89" s="15"/>
      <c r="K89" s="15"/>
      <c r="L89" s="15"/>
      <c r="M89" s="15"/>
      <c r="N89" s="15"/>
      <c r="O89" s="15"/>
      <c r="P89" s="15"/>
      <c r="Q89" s="11"/>
    </row>
    <row r="90" spans="2:17" ht="20.100000000000001" customHeight="1" x14ac:dyDescent="0.2">
      <c r="B90" s="10"/>
      <c r="C90" s="148" t="s">
        <v>175</v>
      </c>
      <c r="D90" s="149"/>
      <c r="E90" s="149"/>
      <c r="F90" s="149"/>
      <c r="G90" s="150"/>
      <c r="H90" s="1">
        <f>0.0062*(H23/H24)*'Arch Pipe - Ciment.'!AH19*'Arch Pipe - Ciment.'!H71*H51*((H25*0.5)^2)</f>
        <v>16.481501163519788</v>
      </c>
      <c r="I90" s="102" t="s">
        <v>122</v>
      </c>
      <c r="J90" s="15"/>
      <c r="K90" s="15"/>
      <c r="L90" s="15"/>
      <c r="M90" s="15"/>
      <c r="N90" s="15"/>
      <c r="O90" s="15"/>
      <c r="P90" s="15"/>
      <c r="Q90" s="11"/>
    </row>
    <row r="91" spans="2:17" ht="30.75" customHeight="1" x14ac:dyDescent="0.2">
      <c r="B91" s="10"/>
      <c r="C91" s="148" t="s">
        <v>186</v>
      </c>
      <c r="D91" s="149"/>
      <c r="E91" s="149"/>
      <c r="F91" s="149"/>
      <c r="G91" s="150"/>
      <c r="H91" s="1">
        <f>(-(H88/H89))+((H90*T63)/T64)</f>
        <v>-9.509505885787874</v>
      </c>
      <c r="I91" s="102" t="s">
        <v>103</v>
      </c>
      <c r="J91" s="151" t="str">
        <f>IF(H91&gt;=H66,IF(H91&lt;=H67,"Stress within limits. The "&amp;H61&amp;"-in. thick liner is sufficient.","Stress exceeds limits. The "&amp;H61&amp;"-in. thick liner is not sufficient."),"Stress exceeds limits. The "&amp;H61&amp;"-in. thick liner is not sufficient.")</f>
        <v>Stress within limits. The 1-in. thick liner is sufficient.</v>
      </c>
      <c r="K91" s="151"/>
      <c r="L91" s="151"/>
      <c r="M91" s="151"/>
      <c r="N91" s="151"/>
      <c r="O91" s="151"/>
      <c r="P91" s="12"/>
      <c r="Q91" s="11"/>
    </row>
    <row r="92" spans="2:17" ht="15" x14ac:dyDescent="0.25">
      <c r="B92" s="10"/>
      <c r="C92" s="15"/>
      <c r="D92" s="15"/>
      <c r="E92" s="15"/>
      <c r="F92" s="15"/>
      <c r="G92" s="15"/>
      <c r="H92" s="89"/>
      <c r="I92" s="77"/>
      <c r="J92" s="15"/>
      <c r="K92" s="15"/>
      <c r="L92" s="15"/>
      <c r="M92" s="15"/>
      <c r="N92" s="15"/>
      <c r="O92" s="15"/>
      <c r="P92" s="15"/>
      <c r="Q92" s="11"/>
    </row>
    <row r="93" spans="2:17" ht="20.100000000000001" customHeight="1" x14ac:dyDescent="0.25">
      <c r="B93" s="10"/>
      <c r="C93" s="53" t="s">
        <v>126</v>
      </c>
      <c r="D93" s="12"/>
      <c r="E93" s="12"/>
      <c r="F93" s="12"/>
      <c r="G93" s="12"/>
      <c r="H93" s="18"/>
      <c r="I93" s="76"/>
      <c r="J93" s="12"/>
      <c r="K93" s="12"/>
      <c r="L93" s="12"/>
      <c r="M93" s="13"/>
      <c r="N93" s="12"/>
      <c r="O93" s="12"/>
      <c r="P93" s="15"/>
      <c r="Q93" s="11"/>
    </row>
    <row r="94" spans="2:17" ht="20.100000000000001" customHeight="1" x14ac:dyDescent="0.25">
      <c r="B94" s="10"/>
      <c r="C94" s="97" t="s">
        <v>63</v>
      </c>
      <c r="D94" s="12"/>
      <c r="E94" s="12"/>
      <c r="F94" s="12"/>
      <c r="G94" s="12"/>
      <c r="H94" s="18"/>
      <c r="I94" s="76"/>
      <c r="J94" s="12"/>
      <c r="K94" s="12"/>
      <c r="L94" s="12"/>
      <c r="M94" s="36"/>
      <c r="N94" s="12"/>
      <c r="O94" s="12"/>
      <c r="P94" s="15"/>
      <c r="Q94" s="11"/>
    </row>
    <row r="95" spans="2:17" ht="20.100000000000001" customHeight="1" x14ac:dyDescent="0.25">
      <c r="B95" s="10"/>
      <c r="C95" s="148" t="s">
        <v>187</v>
      </c>
      <c r="D95" s="149"/>
      <c r="E95" s="149"/>
      <c r="F95" s="149"/>
      <c r="G95" s="150"/>
      <c r="H95" s="1">
        <f>0.8323*(H69*H73*H74*H52+'Arch Pipe - Ciment.'!AH19*'Arch Pipe - Ciment.'!H51*H72*H76*H75)*H23+H70*H53</f>
        <v>360.179300629642</v>
      </c>
      <c r="I95" s="102" t="s">
        <v>120</v>
      </c>
      <c r="J95" s="12"/>
      <c r="K95" s="12"/>
      <c r="L95" s="12"/>
      <c r="M95" s="13"/>
      <c r="N95" s="12"/>
      <c r="O95" s="12"/>
      <c r="P95" s="15"/>
      <c r="Q95" s="11"/>
    </row>
    <row r="96" spans="2:17" ht="30" customHeight="1" x14ac:dyDescent="0.2">
      <c r="B96" s="10"/>
      <c r="C96" s="122" t="s">
        <v>174</v>
      </c>
      <c r="D96" s="152"/>
      <c r="E96" s="152"/>
      <c r="F96" s="152"/>
      <c r="G96" s="153"/>
      <c r="H96" s="1">
        <f>H61</f>
        <v>1</v>
      </c>
      <c r="I96" s="102" t="s">
        <v>121</v>
      </c>
      <c r="J96" s="12"/>
      <c r="K96" s="12"/>
      <c r="L96" s="12"/>
      <c r="M96" s="36"/>
      <c r="N96" s="12"/>
      <c r="O96" s="12"/>
      <c r="P96" s="15"/>
      <c r="Q96" s="11"/>
    </row>
    <row r="97" spans="2:17" ht="20.100000000000001" customHeight="1" x14ac:dyDescent="0.2">
      <c r="B97" s="10"/>
      <c r="C97" s="148" t="s">
        <v>145</v>
      </c>
      <c r="D97" s="149"/>
      <c r="E97" s="149"/>
      <c r="F97" s="149"/>
      <c r="G97" s="150"/>
      <c r="H97" s="1">
        <f>0.0062*'Arch Pipe - Ciment.'!AH19*'Arch Pipe - Ciment.'!H51*H72*H76*H75*(H23^2)</f>
        <v>90.205444791774198</v>
      </c>
      <c r="I97" s="102" t="s">
        <v>122</v>
      </c>
      <c r="J97" s="12"/>
      <c r="K97" s="12"/>
      <c r="L97" s="12"/>
      <c r="M97" s="12"/>
      <c r="N97" s="12"/>
      <c r="O97" s="12"/>
      <c r="P97" s="15"/>
      <c r="Q97" s="11"/>
    </row>
    <row r="98" spans="2:17" ht="30" customHeight="1" x14ac:dyDescent="0.2">
      <c r="B98" s="10"/>
      <c r="C98" s="148" t="s">
        <v>188</v>
      </c>
      <c r="D98" s="149"/>
      <c r="E98" s="149"/>
      <c r="F98" s="149"/>
      <c r="G98" s="150"/>
      <c r="H98" s="1">
        <f>(-(H95/H96))+((H97*T63)/T64)</f>
        <v>-43.415969139233141</v>
      </c>
      <c r="I98" s="102" t="s">
        <v>103</v>
      </c>
      <c r="J98" s="151" t="str">
        <f>IF(H98&gt;=H66,IF(H98&lt;=H67,"Stress within limits. The "&amp;H61&amp;"-in. thick liner is sufficient.","Stress exceeds limits. The "&amp;H61&amp;"-in. thick liner is not sufficient."),"Stress exceeds limits. The "&amp;H61&amp;"-in. thick liner is not sufficient.")</f>
        <v>Stress within limits. The 1-in. thick liner is sufficient.</v>
      </c>
      <c r="K98" s="151"/>
      <c r="L98" s="151"/>
      <c r="M98" s="151"/>
      <c r="N98" s="151"/>
      <c r="O98" s="151"/>
      <c r="P98" s="15"/>
      <c r="Q98" s="11"/>
    </row>
    <row r="99" spans="2:17" ht="15" x14ac:dyDescent="0.25">
      <c r="B99" s="10"/>
      <c r="C99" s="12"/>
      <c r="D99" s="12"/>
      <c r="E99" s="12"/>
      <c r="F99" s="12"/>
      <c r="G99" s="12"/>
      <c r="H99" s="18"/>
      <c r="I99" s="76"/>
      <c r="J99" s="52"/>
      <c r="K99" s="52"/>
      <c r="L99" s="52"/>
      <c r="M99" s="52"/>
      <c r="N99" s="52"/>
      <c r="O99" s="52"/>
      <c r="P99" s="15"/>
      <c r="Q99" s="11"/>
    </row>
    <row r="100" spans="2:17" ht="20.100000000000001" customHeight="1" x14ac:dyDescent="0.25">
      <c r="B100" s="10"/>
      <c r="C100" s="97" t="s">
        <v>64</v>
      </c>
      <c r="D100" s="12"/>
      <c r="E100" s="12"/>
      <c r="F100" s="12"/>
      <c r="G100" s="12"/>
      <c r="H100" s="18"/>
      <c r="I100" s="76"/>
      <c r="J100" s="12"/>
      <c r="K100" s="12"/>
      <c r="L100" s="12"/>
      <c r="M100" s="13"/>
      <c r="N100" s="12"/>
      <c r="O100" s="12"/>
      <c r="P100" s="15"/>
      <c r="Q100" s="11"/>
    </row>
    <row r="101" spans="2:17" ht="20.100000000000001" customHeight="1" x14ac:dyDescent="0.2">
      <c r="B101" s="10"/>
      <c r="C101" s="148" t="s">
        <v>187</v>
      </c>
      <c r="D101" s="149"/>
      <c r="E101" s="149"/>
      <c r="F101" s="149"/>
      <c r="G101" s="150"/>
      <c r="H101" s="1">
        <f>0.8323*(H23/H24)*(H69*H73*H74*H52+'Arch Pipe - Ciment.'!AH19*'Arch Pipe - Ciment.'!H51*H72*H76*H75)*H25*0.5+H70*H53</f>
        <v>115.97610133652873</v>
      </c>
      <c r="I101" s="102" t="s">
        <v>120</v>
      </c>
      <c r="J101" s="15"/>
      <c r="K101" s="15"/>
      <c r="L101" s="15"/>
      <c r="M101" s="15"/>
      <c r="N101" s="15"/>
      <c r="O101" s="15"/>
      <c r="P101" s="15"/>
      <c r="Q101" s="11"/>
    </row>
    <row r="102" spans="2:17" ht="30" customHeight="1" x14ac:dyDescent="0.2">
      <c r="B102" s="10"/>
      <c r="C102" s="122" t="s">
        <v>174</v>
      </c>
      <c r="D102" s="152"/>
      <c r="E102" s="152"/>
      <c r="F102" s="152"/>
      <c r="G102" s="153"/>
      <c r="H102" s="1">
        <f>H61</f>
        <v>1</v>
      </c>
      <c r="I102" s="102" t="s">
        <v>121</v>
      </c>
      <c r="J102" s="15"/>
      <c r="K102" s="15"/>
      <c r="L102" s="15"/>
      <c r="M102" s="15"/>
      <c r="N102" s="15"/>
      <c r="O102" s="15"/>
      <c r="P102" s="15"/>
      <c r="Q102" s="11"/>
    </row>
    <row r="103" spans="2:17" ht="20.100000000000001" customHeight="1" x14ac:dyDescent="0.2">
      <c r="B103" s="10"/>
      <c r="C103" s="148" t="s">
        <v>189</v>
      </c>
      <c r="D103" s="149"/>
      <c r="E103" s="149"/>
      <c r="F103" s="149"/>
      <c r="G103" s="150"/>
      <c r="H103" s="1">
        <f>0.0062*(H23/H24)*'Arch Pipe - Ciment.'!AH19*'Arch Pipe - Ciment.'!H51*H72*H76*H75*((H25*0.5)^2)</f>
        <v>28.84262703615963</v>
      </c>
      <c r="I103" s="102" t="s">
        <v>122</v>
      </c>
      <c r="J103" s="15"/>
      <c r="K103" s="15"/>
      <c r="L103" s="15"/>
      <c r="M103" s="15"/>
      <c r="N103" s="15"/>
      <c r="O103" s="15"/>
      <c r="P103" s="15"/>
      <c r="Q103" s="11"/>
    </row>
    <row r="104" spans="2:17" ht="30" customHeight="1" x14ac:dyDescent="0.2">
      <c r="B104" s="10"/>
      <c r="C104" s="148" t="s">
        <v>188</v>
      </c>
      <c r="D104" s="149"/>
      <c r="E104" s="149"/>
      <c r="F104" s="149"/>
      <c r="G104" s="150"/>
      <c r="H104" s="1">
        <f>(-(H101/H102))+((H103*T63)/T64)</f>
        <v>-14.693006396982497</v>
      </c>
      <c r="I104" s="102" t="s">
        <v>103</v>
      </c>
      <c r="J104" s="151" t="str">
        <f>IF(H104&gt;=H66,IF(H104&lt;=H67,"Stress within limits. The "&amp;H61&amp;"-in. thick liner is sufficient.","Stress exceeds limits. The "&amp;H61&amp;"-in. thick liner is not sufficient."),"Stress exceeds limits. The "&amp;H61&amp;"-in. thick liner is not sufficient.")</f>
        <v>Stress within limits. The 1-in. thick liner is sufficient.</v>
      </c>
      <c r="K104" s="151"/>
      <c r="L104" s="151"/>
      <c r="M104" s="151"/>
      <c r="N104" s="151"/>
      <c r="O104" s="151"/>
      <c r="P104" s="15"/>
      <c r="Q104" s="11"/>
    </row>
    <row r="105" spans="2:17" ht="15.75" thickBot="1" x14ac:dyDescent="0.3">
      <c r="B105" s="19"/>
      <c r="C105" s="20"/>
      <c r="D105" s="20"/>
      <c r="E105" s="20"/>
      <c r="F105" s="20"/>
      <c r="G105" s="20"/>
      <c r="H105" s="21"/>
      <c r="I105" s="81"/>
      <c r="J105" s="22"/>
      <c r="K105" s="22"/>
      <c r="L105" s="22"/>
      <c r="M105" s="22"/>
      <c r="N105" s="22"/>
      <c r="O105" s="22"/>
      <c r="P105" s="54"/>
      <c r="Q105" s="23"/>
    </row>
    <row r="106" spans="2:17" ht="15" x14ac:dyDescent="0.25">
      <c r="H106" s="5"/>
    </row>
    <row r="107" spans="2:17" ht="15" x14ac:dyDescent="0.25">
      <c r="H107" s="5"/>
    </row>
    <row r="108" spans="2:17" ht="15" x14ac:dyDescent="0.25">
      <c r="H108" s="5"/>
    </row>
    <row r="109" spans="2:17" ht="15" x14ac:dyDescent="0.25">
      <c r="H109" s="5"/>
    </row>
    <row r="110" spans="2:17" ht="15" x14ac:dyDescent="0.25">
      <c r="H110" s="5"/>
    </row>
    <row r="111" spans="2:17" ht="15" x14ac:dyDescent="0.25">
      <c r="H111" s="5"/>
    </row>
    <row r="112" spans="2:17" ht="15" x14ac:dyDescent="0.25">
      <c r="H112" s="5"/>
    </row>
    <row r="113" spans="8:8" ht="15" x14ac:dyDescent="0.25">
      <c r="H113" s="5"/>
    </row>
    <row r="114" spans="8:8" ht="15" x14ac:dyDescent="0.25">
      <c r="H114" s="5"/>
    </row>
    <row r="115" spans="8:8" ht="15" x14ac:dyDescent="0.25">
      <c r="H115" s="5"/>
    </row>
    <row r="116" spans="8:8" ht="15" x14ac:dyDescent="0.25">
      <c r="H116" s="5"/>
    </row>
    <row r="117" spans="8:8" ht="15" x14ac:dyDescent="0.25">
      <c r="H117" s="5"/>
    </row>
    <row r="118" spans="8:8" ht="15" x14ac:dyDescent="0.25">
      <c r="H118" s="5"/>
    </row>
    <row r="119" spans="8:8" ht="15" x14ac:dyDescent="0.25">
      <c r="H119" s="5"/>
    </row>
    <row r="120" spans="8:8" ht="15" x14ac:dyDescent="0.25">
      <c r="H120" s="5"/>
    </row>
    <row r="121" spans="8:8" ht="15" x14ac:dyDescent="0.25">
      <c r="H121" s="5"/>
    </row>
    <row r="122" spans="8:8" ht="15" x14ac:dyDescent="0.25">
      <c r="H122" s="5"/>
    </row>
    <row r="123" spans="8:8" ht="15" x14ac:dyDescent="0.25">
      <c r="H123" s="5"/>
    </row>
    <row r="124" spans="8:8" ht="15" x14ac:dyDescent="0.25">
      <c r="H124" s="5"/>
    </row>
    <row r="125" spans="8:8" ht="15" x14ac:dyDescent="0.25">
      <c r="H125" s="5"/>
    </row>
    <row r="126" spans="8:8" ht="15" x14ac:dyDescent="0.25">
      <c r="H126" s="5"/>
    </row>
    <row r="127" spans="8:8" ht="15" x14ac:dyDescent="0.25">
      <c r="H127" s="5"/>
    </row>
    <row r="128" spans="8:8" ht="15" x14ac:dyDescent="0.25">
      <c r="H128" s="5"/>
    </row>
    <row r="129" spans="8:8" ht="15" x14ac:dyDescent="0.25">
      <c r="H129" s="5"/>
    </row>
    <row r="130" spans="8:8" ht="15" x14ac:dyDescent="0.25">
      <c r="H130" s="5"/>
    </row>
    <row r="131" spans="8:8" ht="15" x14ac:dyDescent="0.25">
      <c r="H131" s="5"/>
    </row>
    <row r="132" spans="8:8" ht="15" x14ac:dyDescent="0.25">
      <c r="H132" s="5"/>
    </row>
    <row r="133" spans="8:8" ht="15" x14ac:dyDescent="0.25">
      <c r="H133" s="5"/>
    </row>
    <row r="134" spans="8:8" ht="15" x14ac:dyDescent="0.25">
      <c r="H134" s="5"/>
    </row>
    <row r="135" spans="8:8" ht="15" x14ac:dyDescent="0.25">
      <c r="H135" s="5"/>
    </row>
    <row r="136" spans="8:8" ht="15" x14ac:dyDescent="0.25">
      <c r="H136" s="5"/>
    </row>
    <row r="137" spans="8:8" ht="15" x14ac:dyDescent="0.25">
      <c r="H137" s="5"/>
    </row>
    <row r="138" spans="8:8" ht="15" x14ac:dyDescent="0.25">
      <c r="H138" s="5"/>
    </row>
    <row r="139" spans="8:8" ht="15" x14ac:dyDescent="0.25">
      <c r="H139" s="5"/>
    </row>
    <row r="140" spans="8:8" ht="15" x14ac:dyDescent="0.25">
      <c r="H140" s="5"/>
    </row>
    <row r="141" spans="8:8" ht="15" x14ac:dyDescent="0.25">
      <c r="H141" s="5"/>
    </row>
    <row r="142" spans="8:8" ht="15" x14ac:dyDescent="0.25">
      <c r="H142" s="5"/>
    </row>
    <row r="143" spans="8:8" ht="15" x14ac:dyDescent="0.25">
      <c r="H143" s="5"/>
    </row>
    <row r="144" spans="8:8" ht="15" x14ac:dyDescent="0.25">
      <c r="H144" s="5"/>
    </row>
    <row r="145" spans="8:8" ht="15" x14ac:dyDescent="0.25">
      <c r="H145" s="5"/>
    </row>
    <row r="146" spans="8:8" ht="15" x14ac:dyDescent="0.25">
      <c r="H146" s="5"/>
    </row>
    <row r="147" spans="8:8" ht="15" x14ac:dyDescent="0.25">
      <c r="H147" s="5"/>
    </row>
    <row r="148" spans="8:8" ht="15" x14ac:dyDescent="0.25">
      <c r="H148" s="5"/>
    </row>
    <row r="149" spans="8:8" ht="15" x14ac:dyDescent="0.25">
      <c r="H149" s="5"/>
    </row>
    <row r="150" spans="8:8" ht="15" x14ac:dyDescent="0.25">
      <c r="H150" s="5"/>
    </row>
    <row r="151" spans="8:8" ht="15" x14ac:dyDescent="0.25">
      <c r="H151" s="5"/>
    </row>
    <row r="152" spans="8:8" ht="15" x14ac:dyDescent="0.25">
      <c r="H152" s="5"/>
    </row>
    <row r="153" spans="8:8" ht="15" x14ac:dyDescent="0.25">
      <c r="H153" s="5"/>
    </row>
    <row r="154" spans="8:8" ht="15" x14ac:dyDescent="0.25">
      <c r="H154" s="5"/>
    </row>
    <row r="155" spans="8:8" ht="15" x14ac:dyDescent="0.25">
      <c r="H155" s="5"/>
    </row>
    <row r="156" spans="8:8" ht="15" x14ac:dyDescent="0.25">
      <c r="H156" s="5"/>
    </row>
    <row r="157" spans="8:8" ht="15" x14ac:dyDescent="0.25">
      <c r="H157" s="5"/>
    </row>
    <row r="158" spans="8:8" ht="15" x14ac:dyDescent="0.25">
      <c r="H158" s="5"/>
    </row>
    <row r="159" spans="8:8" ht="15" x14ac:dyDescent="0.25">
      <c r="H159" s="5"/>
    </row>
    <row r="160" spans="8:8" ht="15" x14ac:dyDescent="0.25">
      <c r="H160" s="5"/>
    </row>
    <row r="161" spans="8:8" ht="15" x14ac:dyDescent="0.25">
      <c r="H161" s="5"/>
    </row>
    <row r="162" spans="8:8" ht="15" x14ac:dyDescent="0.25">
      <c r="H162" s="5"/>
    </row>
    <row r="163" spans="8:8" ht="15" x14ac:dyDescent="0.25">
      <c r="H163" s="5"/>
    </row>
    <row r="164" spans="8:8" ht="15" x14ac:dyDescent="0.25">
      <c r="H164" s="5"/>
    </row>
    <row r="165" spans="8:8" ht="15" x14ac:dyDescent="0.25">
      <c r="H165" s="5"/>
    </row>
    <row r="166" spans="8:8" ht="15" x14ac:dyDescent="0.25">
      <c r="H166" s="5"/>
    </row>
    <row r="167" spans="8:8" ht="15" x14ac:dyDescent="0.25">
      <c r="H167" s="5"/>
    </row>
    <row r="168" spans="8:8" ht="15" x14ac:dyDescent="0.25">
      <c r="H168" s="5"/>
    </row>
    <row r="169" spans="8:8" ht="15" x14ac:dyDescent="0.25">
      <c r="H169" s="5"/>
    </row>
    <row r="170" spans="8:8" ht="15" x14ac:dyDescent="0.25">
      <c r="H170" s="5"/>
    </row>
    <row r="171" spans="8:8" ht="15" x14ac:dyDescent="0.25">
      <c r="H171" s="5"/>
    </row>
    <row r="172" spans="8:8" ht="15" x14ac:dyDescent="0.25">
      <c r="H172" s="5"/>
    </row>
    <row r="173" spans="8:8" ht="15" x14ac:dyDescent="0.25">
      <c r="H173" s="5"/>
    </row>
    <row r="174" spans="8:8" ht="15" x14ac:dyDescent="0.25">
      <c r="H174" s="5"/>
    </row>
    <row r="175" spans="8:8" ht="15" x14ac:dyDescent="0.25">
      <c r="H175" s="5"/>
    </row>
    <row r="176" spans="8:8" ht="15" x14ac:dyDescent="0.25">
      <c r="H176" s="5"/>
    </row>
    <row r="177" spans="8:8" ht="15" x14ac:dyDescent="0.25">
      <c r="H177" s="5"/>
    </row>
    <row r="178" spans="8:8" ht="15" x14ac:dyDescent="0.25">
      <c r="H178" s="5"/>
    </row>
    <row r="179" spans="8:8" ht="15" x14ac:dyDescent="0.25">
      <c r="H179" s="5"/>
    </row>
    <row r="180" spans="8:8" ht="15" x14ac:dyDescent="0.25">
      <c r="H180" s="5"/>
    </row>
    <row r="181" spans="8:8" ht="15" x14ac:dyDescent="0.25">
      <c r="H181" s="5"/>
    </row>
    <row r="182" spans="8:8" ht="15" x14ac:dyDescent="0.25">
      <c r="H182" s="5"/>
    </row>
    <row r="183" spans="8:8" ht="15" x14ac:dyDescent="0.25">
      <c r="H183" s="5"/>
    </row>
    <row r="184" spans="8:8" ht="15" x14ac:dyDescent="0.25">
      <c r="H184" s="5"/>
    </row>
    <row r="185" spans="8:8" ht="15" x14ac:dyDescent="0.25">
      <c r="H185" s="5"/>
    </row>
    <row r="186" spans="8:8" ht="15" x14ac:dyDescent="0.25">
      <c r="H186" s="5"/>
    </row>
    <row r="187" spans="8:8" ht="15" x14ac:dyDescent="0.25">
      <c r="H187" s="5"/>
    </row>
    <row r="188" spans="8:8" ht="15" x14ac:dyDescent="0.25">
      <c r="H188" s="5"/>
    </row>
    <row r="189" spans="8:8" ht="15" x14ac:dyDescent="0.25">
      <c r="H189" s="5"/>
    </row>
    <row r="190" spans="8:8" ht="15" x14ac:dyDescent="0.25">
      <c r="H190" s="5"/>
    </row>
    <row r="191" spans="8:8" ht="15" x14ac:dyDescent="0.25">
      <c r="H191" s="5"/>
    </row>
    <row r="192" spans="8:8" ht="15" x14ac:dyDescent="0.25">
      <c r="H192" s="5"/>
    </row>
    <row r="193" spans="8:8" ht="15" x14ac:dyDescent="0.25">
      <c r="H193" s="5"/>
    </row>
    <row r="194" spans="8:8" ht="15" x14ac:dyDescent="0.25">
      <c r="H194" s="5"/>
    </row>
    <row r="195" spans="8:8" ht="15" x14ac:dyDescent="0.25">
      <c r="H195" s="5"/>
    </row>
    <row r="196" spans="8:8" ht="15" x14ac:dyDescent="0.25">
      <c r="H196" s="5"/>
    </row>
    <row r="197" spans="8:8" ht="15" x14ac:dyDescent="0.25">
      <c r="H197" s="5"/>
    </row>
    <row r="198" spans="8:8" ht="15" x14ac:dyDescent="0.25">
      <c r="H198" s="5"/>
    </row>
    <row r="199" spans="8:8" ht="15" x14ac:dyDescent="0.25">
      <c r="H199" s="5"/>
    </row>
    <row r="200" spans="8:8" ht="15" x14ac:dyDescent="0.25">
      <c r="H200" s="5"/>
    </row>
    <row r="201" spans="8:8" ht="15" x14ac:dyDescent="0.25">
      <c r="H201" s="5"/>
    </row>
    <row r="202" spans="8:8" ht="15" x14ac:dyDescent="0.25">
      <c r="H202" s="5"/>
    </row>
    <row r="203" spans="8:8" ht="15" x14ac:dyDescent="0.25">
      <c r="H203" s="5"/>
    </row>
    <row r="204" spans="8:8" ht="15" x14ac:dyDescent="0.25">
      <c r="H204" s="5"/>
    </row>
    <row r="205" spans="8:8" ht="15" x14ac:dyDescent="0.25">
      <c r="H205" s="5"/>
    </row>
    <row r="206" spans="8:8" ht="15" x14ac:dyDescent="0.25">
      <c r="H206" s="5"/>
    </row>
    <row r="207" spans="8:8" ht="15" x14ac:dyDescent="0.25">
      <c r="H207" s="5"/>
    </row>
    <row r="208" spans="8:8" ht="15" x14ac:dyDescent="0.25">
      <c r="H208" s="5"/>
    </row>
    <row r="209" spans="8:8" ht="15" x14ac:dyDescent="0.25">
      <c r="H209" s="5"/>
    </row>
    <row r="210" spans="8:8" ht="15" x14ac:dyDescent="0.25">
      <c r="H210" s="5"/>
    </row>
    <row r="211" spans="8:8" ht="15" x14ac:dyDescent="0.25">
      <c r="H211" s="5"/>
    </row>
    <row r="212" spans="8:8" ht="15" x14ac:dyDescent="0.25">
      <c r="H212" s="5"/>
    </row>
    <row r="213" spans="8:8" ht="15" x14ac:dyDescent="0.25">
      <c r="H213" s="5"/>
    </row>
    <row r="214" spans="8:8" ht="15" x14ac:dyDescent="0.25">
      <c r="H214" s="5"/>
    </row>
    <row r="215" spans="8:8" ht="15" x14ac:dyDescent="0.25">
      <c r="H215" s="5"/>
    </row>
    <row r="216" spans="8:8" ht="15" x14ac:dyDescent="0.25">
      <c r="H216" s="5"/>
    </row>
    <row r="217" spans="8:8" ht="15" x14ac:dyDescent="0.25">
      <c r="H217" s="5"/>
    </row>
    <row r="218" spans="8:8" ht="15" x14ac:dyDescent="0.25">
      <c r="H218" s="5"/>
    </row>
    <row r="219" spans="8:8" ht="15" x14ac:dyDescent="0.25">
      <c r="H219" s="5"/>
    </row>
    <row r="220" spans="8:8" ht="15" x14ac:dyDescent="0.25">
      <c r="H220" s="5"/>
    </row>
    <row r="221" spans="8:8" ht="15" x14ac:dyDescent="0.25">
      <c r="H221" s="5"/>
    </row>
    <row r="222" spans="8:8" ht="15" x14ac:dyDescent="0.25">
      <c r="H222" s="5"/>
    </row>
    <row r="223" spans="8:8" ht="15" x14ac:dyDescent="0.25">
      <c r="H223" s="5"/>
    </row>
    <row r="224" spans="8:8" ht="15" x14ac:dyDescent="0.25">
      <c r="H224" s="5"/>
    </row>
    <row r="225" spans="8:8" ht="15" x14ac:dyDescent="0.25">
      <c r="H225" s="5"/>
    </row>
    <row r="226" spans="8:8" ht="15" x14ac:dyDescent="0.25">
      <c r="H226" s="5"/>
    </row>
    <row r="227" spans="8:8" ht="15" x14ac:dyDescent="0.25">
      <c r="H227" s="5"/>
    </row>
    <row r="228" spans="8:8" ht="15" x14ac:dyDescent="0.25">
      <c r="H228" s="5"/>
    </row>
    <row r="229" spans="8:8" ht="15" x14ac:dyDescent="0.25">
      <c r="H229" s="5"/>
    </row>
    <row r="230" spans="8:8" ht="15" x14ac:dyDescent="0.25">
      <c r="H230" s="5"/>
    </row>
    <row r="231" spans="8:8" ht="15" x14ac:dyDescent="0.25">
      <c r="H231" s="5"/>
    </row>
  </sheetData>
  <mergeCells count="86">
    <mergeCell ref="C35:G35"/>
    <mergeCell ref="AC65:AG65"/>
    <mergeCell ref="C95:G95"/>
    <mergeCell ref="C96:G96"/>
    <mergeCell ref="C97:G97"/>
    <mergeCell ref="C41:G41"/>
    <mergeCell ref="C53:G53"/>
    <mergeCell ref="C61:G61"/>
    <mergeCell ref="C63:G63"/>
    <mergeCell ref="C64:G64"/>
    <mergeCell ref="C44:G44"/>
    <mergeCell ref="C46:G46"/>
    <mergeCell ref="C55:G55"/>
    <mergeCell ref="C56:G56"/>
    <mergeCell ref="C62:G62"/>
    <mergeCell ref="J85:O85"/>
    <mergeCell ref="C104:G104"/>
    <mergeCell ref="J104:O104"/>
    <mergeCell ref="C98:G98"/>
    <mergeCell ref="J98:O98"/>
    <mergeCell ref="C101:G101"/>
    <mergeCell ref="C102:G102"/>
    <mergeCell ref="C103:G103"/>
    <mergeCell ref="C5:P5"/>
    <mergeCell ref="D10:G10"/>
    <mergeCell ref="D11:G11"/>
    <mergeCell ref="D12:G12"/>
    <mergeCell ref="D13:G13"/>
    <mergeCell ref="D9:G9"/>
    <mergeCell ref="C67:G67"/>
    <mergeCell ref="C82:G82"/>
    <mergeCell ref="C83:G83"/>
    <mergeCell ref="C84:G84"/>
    <mergeCell ref="C85:G85"/>
    <mergeCell ref="C72:G72"/>
    <mergeCell ref="C73:G73"/>
    <mergeCell ref="C68:G68"/>
    <mergeCell ref="C69:G69"/>
    <mergeCell ref="C70:G70"/>
    <mergeCell ref="C71:G71"/>
    <mergeCell ref="C74:G74"/>
    <mergeCell ref="C76:G76"/>
    <mergeCell ref="C75:G75"/>
    <mergeCell ref="C39:G39"/>
    <mergeCell ref="C42:G42"/>
    <mergeCell ref="C51:G51"/>
    <mergeCell ref="C52:G52"/>
    <mergeCell ref="C3:P3"/>
    <mergeCell ref="C6:P6"/>
    <mergeCell ref="C28:G28"/>
    <mergeCell ref="C29:G29"/>
    <mergeCell ref="C30:G30"/>
    <mergeCell ref="C21:G21"/>
    <mergeCell ref="C23:G23"/>
    <mergeCell ref="C24:G24"/>
    <mergeCell ref="C25:G25"/>
    <mergeCell ref="D8:G8"/>
    <mergeCell ref="D14:G14"/>
    <mergeCell ref="C50:G50"/>
    <mergeCell ref="C40:G40"/>
    <mergeCell ref="C91:G91"/>
    <mergeCell ref="J91:O91"/>
    <mergeCell ref="C26:G26"/>
    <mergeCell ref="C22:G22"/>
    <mergeCell ref="C88:G88"/>
    <mergeCell ref="C89:G89"/>
    <mergeCell ref="C90:G90"/>
    <mergeCell ref="C38:G38"/>
    <mergeCell ref="C31:G31"/>
    <mergeCell ref="C32:G32"/>
    <mergeCell ref="C33:G33"/>
    <mergeCell ref="C34:G34"/>
    <mergeCell ref="C36:G36"/>
    <mergeCell ref="C37:G37"/>
    <mergeCell ref="C66:G66"/>
    <mergeCell ref="AA38:AB38"/>
    <mergeCell ref="AB3:AI3"/>
    <mergeCell ref="AC7:AG7"/>
    <mergeCell ref="AC8:AG8"/>
    <mergeCell ref="AC10:AG10"/>
    <mergeCell ref="AC20:AG20"/>
    <mergeCell ref="AC11:AG11"/>
    <mergeCell ref="AC12:AG12"/>
    <mergeCell ref="AC13:AG13"/>
    <mergeCell ref="AC18:AG18"/>
    <mergeCell ref="AC19:AG19"/>
  </mergeCells>
  <conditionalFormatting sqref="I46">
    <cfRule type="expression" dxfId="32" priority="16">
      <formula>$H$44="Multiple Span"</formula>
    </cfRule>
  </conditionalFormatting>
  <conditionalFormatting sqref="C46:G46">
    <cfRule type="expression" dxfId="31" priority="15">
      <formula>$H$44="Multiple Span"</formula>
    </cfRule>
  </conditionalFormatting>
  <conditionalFormatting sqref="J85:O85">
    <cfRule type="expression" dxfId="30" priority="31">
      <formula>$AG$23=0</formula>
    </cfRule>
  </conditionalFormatting>
  <conditionalFormatting sqref="J91:O91">
    <cfRule type="expression" dxfId="29" priority="32">
      <formula>$AG$24=0</formula>
    </cfRule>
  </conditionalFormatting>
  <conditionalFormatting sqref="J98:O98">
    <cfRule type="expression" dxfId="28" priority="33">
      <formula>$AH$23=0</formula>
    </cfRule>
  </conditionalFormatting>
  <conditionalFormatting sqref="J104:O104">
    <cfRule type="expression" dxfId="27" priority="34">
      <formula>$AH$24=0</formula>
    </cfRule>
  </conditionalFormatting>
  <conditionalFormatting sqref="H46">
    <cfRule type="expression" dxfId="26" priority="14">
      <formula>$H$44="Multiple Span"</formula>
    </cfRule>
  </conditionalFormatting>
  <conditionalFormatting sqref="C55:G55">
    <cfRule type="expression" dxfId="25" priority="13">
      <formula>$AE$43=0</formula>
    </cfRule>
  </conditionalFormatting>
  <conditionalFormatting sqref="C56:G56">
    <cfRule type="expression" dxfId="24" priority="12">
      <formula>$AE$43=0</formula>
    </cfRule>
  </conditionalFormatting>
  <conditionalFormatting sqref="C63:G63">
    <cfRule type="expression" dxfId="23" priority="8">
      <formula>$H$62="No"</formula>
    </cfRule>
  </conditionalFormatting>
  <conditionalFormatting sqref="C64:G64">
    <cfRule type="expression" dxfId="22" priority="7">
      <formula>$H$62="No"</formula>
    </cfRule>
  </conditionalFormatting>
  <conditionalFormatting sqref="I63">
    <cfRule type="expression" dxfId="21" priority="4">
      <formula>$H$62="No"</formula>
    </cfRule>
  </conditionalFormatting>
  <conditionalFormatting sqref="I64">
    <cfRule type="expression" dxfId="20" priority="3">
      <formula>$H$62="No"</formula>
    </cfRule>
  </conditionalFormatting>
  <conditionalFormatting sqref="H63">
    <cfRule type="expression" dxfId="19" priority="2">
      <formula>$H$62="No"</formula>
    </cfRule>
  </conditionalFormatting>
  <conditionalFormatting sqref="H64">
    <cfRule type="expression" dxfId="18" priority="1">
      <formula>$H$62="No"</formula>
    </cfRule>
  </conditionalFormatting>
  <dataValidations count="13">
    <dataValidation type="decimal" operator="lessThanOrEqual" allowBlank="1" showInputMessage="1" showErrorMessage="1" error="Negative value only" sqref="H66" xr:uid="{00000000-0002-0000-0100-000000000000}">
      <formula1>0</formula1>
    </dataValidation>
    <dataValidation type="decimal" operator="greaterThanOrEqual" allowBlank="1" showInputMessage="1" showErrorMessage="1" error="Positive value only" sqref="H38 H46 H67:H76 H23:H26 H28:H35" xr:uid="{00000000-0002-0000-0100-000001000000}">
      <formula1>0</formula1>
    </dataValidation>
    <dataValidation type="decimal" operator="greaterThan" allowBlank="1" showInputMessage="1" showErrorMessage="1" error="Positive value only" sqref="H43 H37 H65 T64" xr:uid="{00000000-0002-0000-0100-000002000000}">
      <formula1>0</formula1>
    </dataValidation>
    <dataValidation type="decimal" operator="greaterThanOrEqual" allowBlank="1" showInputMessage="1" showErrorMessage="1" error="Minimum wall thickness = 1inch_x000a_" sqref="H61" xr:uid="{00000000-0002-0000-0100-000003000000}">
      <formula1>1</formula1>
    </dataValidation>
    <dataValidation operator="greaterThan" allowBlank="1" showInputMessage="1" showErrorMessage="1" sqref="H42 H36 H39" xr:uid="{00000000-0002-0000-0100-000004000000}"/>
    <dataValidation operator="greaterThanOrEqual" allowBlank="1" showInputMessage="1" showErrorMessage="1" sqref="H50" xr:uid="{00000000-0002-0000-0100-000005000000}"/>
    <dataValidation type="list" operator="greaterThan" allowBlank="1" showInputMessage="1" showErrorMessage="1" promptTitle="Select" sqref="H44" xr:uid="{00000000-0002-0000-0100-000006000000}">
      <formula1>$AC$23:$AC$24</formula1>
    </dataValidation>
    <dataValidation type="list" allowBlank="1" showInputMessage="1" showErrorMessage="1" sqref="D11:G11" xr:uid="{00000000-0002-0000-0100-000007000000}">
      <formula1>$AC$27:$AC$34</formula1>
    </dataValidation>
    <dataValidation type="list" operator="greaterThan" allowBlank="1" showInputMessage="1" showErrorMessage="1" sqref="H21" xr:uid="{00000000-0002-0000-0100-000008000000}">
      <formula1>$AQ$3:$AQ$33</formula1>
    </dataValidation>
    <dataValidation type="list" operator="greaterThanOrEqual" allowBlank="1" showInputMessage="1" showErrorMessage="1" sqref="H40" xr:uid="{00000000-0002-0000-0100-000009000000}">
      <formula1>$AC$44:$AC$48</formula1>
    </dataValidation>
    <dataValidation type="list" operator="greaterThanOrEqual" allowBlank="1" showInputMessage="1" showErrorMessage="1" error="_x000a_" sqref="H62" xr:uid="{00000000-0002-0000-0100-00000A000000}">
      <formula1>$AG$43:$AG$44</formula1>
    </dataValidation>
    <dataValidation type="decimal" allowBlank="1" showInputMessage="1" showErrorMessage="1" error="Value between 0 and wall thickness t" sqref="T63" xr:uid="{00000000-0002-0000-0100-00000B000000}">
      <formula1>0</formula1>
      <formula2>G61</formula2>
    </dataValidation>
    <dataValidation type="decimal" allowBlank="1" showInputMessage="1" showErrorMessage="1" error="Value between 0 and depth of cover over culvert &quot;h&quot;" sqref="H41" xr:uid="{00000000-0002-0000-0100-00000C000000}">
      <formula1>0</formula1>
      <formula2>H30</formula2>
    </dataValidation>
  </dataValidations>
  <pageMargins left="0.7" right="0.7" top="0.75" bottom="0.75" header="0.3" footer="0.3"/>
  <pageSetup scale="41" orientation="portrait" r:id="rId1"/>
  <rowBreaks count="1" manualBreakCount="1">
    <brk id="57" min="1" max="16" man="1"/>
  </rowBreaks>
  <drawing r:id="rId2"/>
  <legacyDrawing r:id="rId3"/>
  <controls>
    <mc:AlternateContent xmlns:mc="http://schemas.openxmlformats.org/markup-compatibility/2006">
      <mc:Choice Requires="x14">
        <control shapeId="2051" r:id="rId4" name="CommandButton2">
          <controlPr defaultSize="0" autoLine="0" r:id="rId5">
            <anchor moveWithCells="1">
              <from>
                <xdr:col>6</xdr:col>
                <xdr:colOff>428625</xdr:colOff>
                <xdr:row>15</xdr:row>
                <xdr:rowOff>9525</xdr:rowOff>
              </from>
              <to>
                <xdr:col>7</xdr:col>
                <xdr:colOff>9525</xdr:colOff>
                <xdr:row>17</xdr:row>
                <xdr:rowOff>9525</xdr:rowOff>
              </to>
            </anchor>
          </controlPr>
        </control>
      </mc:Choice>
      <mc:Fallback>
        <control shapeId="2051" r:id="rId4" name="CommandButton2"/>
      </mc:Fallback>
    </mc:AlternateContent>
    <mc:AlternateContent xmlns:mc="http://schemas.openxmlformats.org/markup-compatibility/2006">
      <mc:Choice Requires="x14">
        <control shapeId="2049" r:id="rId6" name="CommandButton1">
          <controlPr defaultSize="0" autoLine="0" r:id="rId7">
            <anchor moveWithCells="1">
              <from>
                <xdr:col>4</xdr:col>
                <xdr:colOff>57150</xdr:colOff>
                <xdr:row>15</xdr:row>
                <xdr:rowOff>9525</xdr:rowOff>
              </from>
              <to>
                <xdr:col>5</xdr:col>
                <xdr:colOff>381000</xdr:colOff>
                <xdr:row>17</xdr:row>
                <xdr:rowOff>9525</xdr:rowOff>
              </to>
            </anchor>
          </controlPr>
        </control>
      </mc:Choice>
      <mc:Fallback>
        <control shapeId="2049" r:id="rId6" name="CommandButton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B1:AK271"/>
  <sheetViews>
    <sheetView showGridLines="0" zoomScaleNormal="100" zoomScaleSheetLayoutView="55" workbookViewId="0">
      <selection activeCell="A22" sqref="A22"/>
    </sheetView>
  </sheetViews>
  <sheetFormatPr defaultRowHeight="14.25" x14ac:dyDescent="0.2"/>
  <cols>
    <col min="1" max="1" width="9.140625" style="4"/>
    <col min="2" max="2" width="3.7109375" style="4" customWidth="1"/>
    <col min="3" max="3" width="11.42578125" style="4" customWidth="1"/>
    <col min="4" max="6" width="9.140625" style="4"/>
    <col min="7" max="7" width="20.7109375" style="4" customWidth="1"/>
    <col min="8" max="8" width="17.5703125" style="4" bestFit="1" customWidth="1"/>
    <col min="9" max="9" width="6.28515625" style="78" bestFit="1" customWidth="1"/>
    <col min="10" max="16" width="9.140625" style="4"/>
    <col min="17" max="17" width="3.7109375" style="4" customWidth="1"/>
    <col min="18" max="18" width="9.5703125" style="4" customWidth="1"/>
    <col min="19" max="37" width="9.140625" style="4" hidden="1" customWidth="1"/>
    <col min="38" max="39" width="9.140625" style="4" customWidth="1"/>
    <col min="40" max="16384" width="9.140625" style="4"/>
  </cols>
  <sheetData>
    <row r="1" spans="2:35" ht="15" thickBot="1" x14ac:dyDescent="0.25"/>
    <row r="2" spans="2:35" ht="30" customHeight="1" thickBot="1" x14ac:dyDescent="0.3">
      <c r="B2" s="7"/>
      <c r="C2" s="8"/>
      <c r="D2" s="8"/>
      <c r="E2" s="8"/>
      <c r="F2" s="8"/>
      <c r="G2" s="8"/>
      <c r="H2" s="8"/>
      <c r="I2" s="79"/>
      <c r="J2" s="8"/>
      <c r="K2" s="8"/>
      <c r="L2" s="8"/>
      <c r="M2" s="8"/>
      <c r="N2" s="8"/>
      <c r="O2" s="8"/>
      <c r="P2" s="8"/>
      <c r="Q2" s="9"/>
      <c r="AA2"/>
      <c r="AB2"/>
      <c r="AC2"/>
      <c r="AD2"/>
      <c r="AE2"/>
      <c r="AF2"/>
      <c r="AG2"/>
      <c r="AH2" s="2"/>
      <c r="AI2"/>
    </row>
    <row r="3" spans="2:35" ht="21" thickBot="1" x14ac:dyDescent="0.35">
      <c r="B3" s="10"/>
      <c r="C3" s="142" t="s">
        <v>0</v>
      </c>
      <c r="D3" s="143"/>
      <c r="E3" s="143"/>
      <c r="F3" s="143"/>
      <c r="G3" s="143"/>
      <c r="H3" s="143"/>
      <c r="I3" s="143"/>
      <c r="J3" s="143"/>
      <c r="K3" s="143"/>
      <c r="L3" s="143"/>
      <c r="M3" s="143"/>
      <c r="N3" s="143"/>
      <c r="O3" s="143"/>
      <c r="P3" s="144"/>
      <c r="Q3" s="11"/>
      <c r="AA3"/>
      <c r="AB3" s="127" t="s">
        <v>136</v>
      </c>
      <c r="AC3" s="128"/>
      <c r="AD3" s="128"/>
      <c r="AE3" s="128"/>
      <c r="AF3" s="128"/>
      <c r="AG3" s="128"/>
      <c r="AH3" s="128"/>
      <c r="AI3" s="129"/>
    </row>
    <row r="4" spans="2:35" ht="20.100000000000001" customHeight="1" thickBot="1" x14ac:dyDescent="0.3">
      <c r="B4" s="10"/>
      <c r="C4" s="12"/>
      <c r="D4" s="12"/>
      <c r="E4" s="12"/>
      <c r="F4" s="12"/>
      <c r="G4" s="12"/>
      <c r="H4" s="12"/>
      <c r="I4" s="76"/>
      <c r="J4" s="12"/>
      <c r="K4" s="12"/>
      <c r="L4" s="12"/>
      <c r="M4" s="12"/>
      <c r="N4" s="12"/>
      <c r="O4" s="12"/>
      <c r="P4" s="12"/>
      <c r="Q4" s="11"/>
      <c r="AA4"/>
      <c r="AB4" s="24"/>
      <c r="AC4" s="25"/>
      <c r="AD4" s="25"/>
      <c r="AE4" s="25"/>
      <c r="AF4" s="25"/>
      <c r="AG4" s="25"/>
      <c r="AH4" s="26"/>
      <c r="AI4" s="27"/>
    </row>
    <row r="5" spans="2:35" ht="19.5" x14ac:dyDescent="0.3">
      <c r="B5" s="10"/>
      <c r="C5" s="227" t="s">
        <v>134</v>
      </c>
      <c r="D5" s="228"/>
      <c r="E5" s="228"/>
      <c r="F5" s="228"/>
      <c r="G5" s="228"/>
      <c r="H5" s="228"/>
      <c r="I5" s="228"/>
      <c r="J5" s="228"/>
      <c r="K5" s="228"/>
      <c r="L5" s="228"/>
      <c r="M5" s="228"/>
      <c r="N5" s="228"/>
      <c r="O5" s="228"/>
      <c r="P5" s="229"/>
      <c r="Q5" s="11"/>
      <c r="AA5"/>
      <c r="AB5" s="31"/>
      <c r="AC5" s="34" t="s">
        <v>3</v>
      </c>
      <c r="AD5" s="28"/>
      <c r="AE5" s="28"/>
      <c r="AF5" s="28"/>
      <c r="AG5" s="28"/>
      <c r="AH5" s="29"/>
      <c r="AI5" s="30"/>
    </row>
    <row r="6" spans="2:35" ht="20.25" thickBot="1" x14ac:dyDescent="0.35">
      <c r="B6" s="10"/>
      <c r="C6" s="224" t="s">
        <v>97</v>
      </c>
      <c r="D6" s="225"/>
      <c r="E6" s="225"/>
      <c r="F6" s="225"/>
      <c r="G6" s="225"/>
      <c r="H6" s="225"/>
      <c r="I6" s="225"/>
      <c r="J6" s="225"/>
      <c r="K6" s="225"/>
      <c r="L6" s="225"/>
      <c r="M6" s="225"/>
      <c r="N6" s="225"/>
      <c r="O6" s="225"/>
      <c r="P6" s="226"/>
      <c r="Q6" s="11"/>
      <c r="AA6"/>
      <c r="AB6" s="31"/>
      <c r="AC6" s="28"/>
      <c r="AD6" s="28"/>
      <c r="AE6" s="28"/>
      <c r="AF6" s="28"/>
      <c r="AG6" s="28"/>
      <c r="AH6" s="29"/>
      <c r="AI6" s="30"/>
    </row>
    <row r="7" spans="2:35" ht="15" x14ac:dyDescent="0.25">
      <c r="B7" s="10"/>
      <c r="C7" s="12"/>
      <c r="D7" s="12"/>
      <c r="E7" s="12"/>
      <c r="F7" s="12"/>
      <c r="G7" s="12"/>
      <c r="H7" s="12"/>
      <c r="I7" s="76"/>
      <c r="J7" s="12"/>
      <c r="K7" s="12"/>
      <c r="L7" s="12"/>
      <c r="M7" s="12"/>
      <c r="N7" s="12"/>
      <c r="O7" s="12"/>
      <c r="P7" s="12"/>
      <c r="Q7" s="11"/>
      <c r="AA7"/>
      <c r="AB7" s="31"/>
      <c r="AC7" s="192" t="s">
        <v>4</v>
      </c>
      <c r="AD7" s="192"/>
      <c r="AE7" s="192"/>
      <c r="AF7" s="192"/>
      <c r="AG7" s="193"/>
      <c r="AH7" s="3">
        <f>MAX((1+0.33*((96-'Circular Pipe - Polym.'!H23)/96)),1)</f>
        <v>1.2475000000000001</v>
      </c>
      <c r="AI7" s="30"/>
    </row>
    <row r="8" spans="2:35" ht="15" x14ac:dyDescent="0.25">
      <c r="B8" s="10"/>
      <c r="C8" s="74" t="s">
        <v>65</v>
      </c>
      <c r="D8" s="207"/>
      <c r="E8" s="173"/>
      <c r="F8" s="173"/>
      <c r="G8" s="174"/>
      <c r="H8" s="12"/>
      <c r="I8" s="76"/>
      <c r="J8" s="12"/>
      <c r="K8" s="12"/>
      <c r="L8" s="12"/>
      <c r="M8" s="12"/>
      <c r="N8" s="12"/>
      <c r="O8" s="12"/>
      <c r="P8" s="12"/>
      <c r="Q8" s="11"/>
      <c r="AA8"/>
      <c r="AB8" s="31"/>
      <c r="AC8" s="194" t="s">
        <v>6</v>
      </c>
      <c r="AD8" s="192"/>
      <c r="AE8" s="192"/>
      <c r="AF8" s="192"/>
      <c r="AG8" s="193"/>
      <c r="AH8" s="3">
        <f>AH25</f>
        <v>37.599999999999994</v>
      </c>
      <c r="AI8" s="30"/>
    </row>
    <row r="9" spans="2:35" ht="15" x14ac:dyDescent="0.25">
      <c r="B9" s="10"/>
      <c r="C9" s="74" t="s">
        <v>138</v>
      </c>
      <c r="D9" s="207"/>
      <c r="E9" s="173"/>
      <c r="F9" s="173"/>
      <c r="G9" s="174"/>
      <c r="H9" s="12"/>
      <c r="I9" s="76"/>
      <c r="J9" s="12"/>
      <c r="K9" s="12"/>
      <c r="L9" s="12"/>
      <c r="M9" s="12"/>
      <c r="N9" s="12"/>
      <c r="O9" s="12"/>
      <c r="P9" s="12"/>
      <c r="Q9" s="11"/>
      <c r="AA9"/>
      <c r="AB9" s="31"/>
      <c r="AC9" s="109"/>
      <c r="AD9" s="107"/>
      <c r="AE9" s="107"/>
      <c r="AF9" s="107"/>
      <c r="AG9" s="108"/>
      <c r="AH9" s="3"/>
      <c r="AI9" s="30"/>
    </row>
    <row r="10" spans="2:35" ht="16.5" x14ac:dyDescent="0.35">
      <c r="B10" s="10"/>
      <c r="C10" s="74" t="s">
        <v>1</v>
      </c>
      <c r="D10" s="207"/>
      <c r="E10" s="173"/>
      <c r="F10" s="173"/>
      <c r="G10" s="174"/>
      <c r="H10" s="12"/>
      <c r="I10" s="76"/>
      <c r="J10" s="12"/>
      <c r="K10" s="12"/>
      <c r="L10" s="12"/>
      <c r="M10" s="12"/>
      <c r="N10" s="12"/>
      <c r="O10" s="12"/>
      <c r="P10" s="12"/>
      <c r="Q10" s="11"/>
      <c r="AA10"/>
      <c r="AB10" s="31"/>
      <c r="AC10" s="194" t="s">
        <v>8</v>
      </c>
      <c r="AD10" s="192"/>
      <c r="AE10" s="192"/>
      <c r="AF10" s="192"/>
      <c r="AG10" s="193"/>
      <c r="AH10" s="3">
        <f>('Circular Pipe - Polym.'!H27-'Circular Pipe - Polym.'!H26-0.06*'Circular Pipe - Polym.'!H29)/'Circular Pipe - Polym.'!H24</f>
        <v>42.086956521739133</v>
      </c>
      <c r="AI10" s="30"/>
    </row>
    <row r="11" spans="2:35" ht="15" customHeight="1" x14ac:dyDescent="0.25">
      <c r="B11" s="10"/>
      <c r="C11" s="74" t="s">
        <v>93</v>
      </c>
      <c r="D11" s="207" t="s">
        <v>94</v>
      </c>
      <c r="E11" s="173"/>
      <c r="F11" s="173"/>
      <c r="G11" s="174"/>
      <c r="H11" s="12"/>
      <c r="I11" s="76"/>
      <c r="J11" s="12"/>
      <c r="K11" s="12"/>
      <c r="L11" s="12"/>
      <c r="M11" s="12"/>
      <c r="N11" s="12"/>
      <c r="O11" s="12"/>
      <c r="P11" s="12"/>
      <c r="Q11" s="11"/>
      <c r="AA11"/>
      <c r="AB11" s="31"/>
      <c r="AC11" s="194" t="s">
        <v>7</v>
      </c>
      <c r="AD11" s="192"/>
      <c r="AE11" s="192"/>
      <c r="AF11" s="192"/>
      <c r="AG11" s="193"/>
      <c r="AH11" s="3">
        <f>IF('Circular Pipe - Polym.'!H23&lt;'Circular Pipe - Polym.'!AH10,'Circular Pipe - Polym.'!H26+'Circular Pipe - Polym.'!H24*'Circular Pipe - Polym.'!H23+0.06*'Circular Pipe - Polym.'!H29,(('Circular Pipe - Polym.'!H26+'Circular Pipe - Polym.'!H27+'Circular Pipe - Polym.'!H24*'Circular Pipe - Polym.'!H23)+0.06*'Circular Pipe - Polym.'!H29))</f>
        <v>51.199999999999996</v>
      </c>
      <c r="AI11" s="30"/>
    </row>
    <row r="12" spans="2:35" ht="15" customHeight="1" x14ac:dyDescent="0.25">
      <c r="B12" s="10"/>
      <c r="C12" s="74" t="s">
        <v>95</v>
      </c>
      <c r="D12" s="207"/>
      <c r="E12" s="173"/>
      <c r="F12" s="173"/>
      <c r="G12" s="174"/>
      <c r="H12" s="12"/>
      <c r="I12" s="76"/>
      <c r="J12" s="12"/>
      <c r="K12" s="12"/>
      <c r="L12" s="12"/>
      <c r="M12" s="12"/>
      <c r="N12" s="12"/>
      <c r="O12" s="12"/>
      <c r="P12" s="12"/>
      <c r="Q12" s="11"/>
      <c r="AA12" s="90">
        <f>IF('Circular Pipe - Polym.'!H23/12&lt;'Circular Pipe - Polym.'!H32,'Circular Pipe - Polym.'!H23/12,'Circular Pipe - Polym.'!H32)</f>
        <v>2</v>
      </c>
      <c r="AB12" s="31"/>
      <c r="AC12" s="134" t="s">
        <v>12</v>
      </c>
      <c r="AD12" s="135"/>
      <c r="AE12" s="135"/>
      <c r="AF12" s="135"/>
      <c r="AG12" s="136"/>
      <c r="AH12" s="3">
        <f>'Circular Pipe - Polym.'!H43*('Circular Pipe - Polym.'!H30*AA12-2*'Circular Pipe - Polym.'!H31)/144</f>
        <v>0.61789412025085744</v>
      </c>
      <c r="AI12" s="30"/>
    </row>
    <row r="13" spans="2:35" ht="15" x14ac:dyDescent="0.25">
      <c r="B13" s="10"/>
      <c r="C13" s="74" t="s">
        <v>96</v>
      </c>
      <c r="D13" s="207"/>
      <c r="E13" s="173"/>
      <c r="F13" s="173"/>
      <c r="G13" s="174"/>
      <c r="H13" s="12"/>
      <c r="I13" s="76"/>
      <c r="J13" s="12"/>
      <c r="K13" s="12"/>
      <c r="L13" s="12"/>
      <c r="M13" s="12"/>
      <c r="N13" s="12"/>
      <c r="O13" s="12"/>
      <c r="P13" s="12"/>
      <c r="Q13" s="11"/>
      <c r="AA13"/>
      <c r="AB13" s="31"/>
      <c r="AC13" s="134" t="s">
        <v>13</v>
      </c>
      <c r="AD13" s="135"/>
      <c r="AE13" s="135"/>
      <c r="AF13" s="135"/>
      <c r="AG13" s="136"/>
      <c r="AH13" s="3">
        <f>(('Circular Pipe - Polym.'!H43*AA12-'Circular Pipe - Polym.'!H34)*'Circular Pipe - Polym.'!H30+'Circular Pipe - Polym.'!H34*('Circular Pipe - Polym.'!H30-62.4))/144</f>
        <v>0.61789412025085744</v>
      </c>
      <c r="AI13" s="30"/>
    </row>
    <row r="14" spans="2:35" ht="18" x14ac:dyDescent="0.35">
      <c r="B14" s="10"/>
      <c r="C14" s="74" t="s">
        <v>2</v>
      </c>
      <c r="D14" s="207"/>
      <c r="E14" s="173"/>
      <c r="F14" s="173"/>
      <c r="G14" s="174"/>
      <c r="H14" s="12"/>
      <c r="I14" s="76"/>
      <c r="J14" s="12"/>
      <c r="K14" s="12"/>
      <c r="L14" s="12"/>
      <c r="M14" s="12"/>
      <c r="N14" s="12"/>
      <c r="O14" s="12"/>
      <c r="P14" s="12"/>
      <c r="Q14" s="11"/>
      <c r="AA14"/>
      <c r="AB14" s="31"/>
      <c r="AC14" s="28" t="s">
        <v>14</v>
      </c>
      <c r="AD14" s="28"/>
      <c r="AE14" s="28"/>
      <c r="AF14" s="28"/>
      <c r="AG14" s="28"/>
      <c r="AH14" s="3">
        <f>0.433*('Circular Pipe - Polym.'!H34+'Circular Pipe - Polym.'!H35)</f>
        <v>2.165</v>
      </c>
      <c r="AI14" s="30"/>
    </row>
    <row r="15" spans="2:35" ht="15" x14ac:dyDescent="0.25">
      <c r="B15" s="10"/>
      <c r="C15" s="12"/>
      <c r="D15" s="12"/>
      <c r="E15" s="12"/>
      <c r="F15" s="12"/>
      <c r="G15" s="12"/>
      <c r="H15" s="12"/>
      <c r="I15" s="76"/>
      <c r="J15" s="12"/>
      <c r="K15" s="12"/>
      <c r="L15" s="12"/>
      <c r="M15" s="12"/>
      <c r="N15" s="12"/>
      <c r="O15" s="12"/>
      <c r="P15" s="12"/>
      <c r="Q15" s="11"/>
      <c r="AA15"/>
      <c r="AB15" s="31"/>
      <c r="AC15" s="28"/>
      <c r="AD15" s="28"/>
      <c r="AE15" s="28"/>
      <c r="AF15" s="28"/>
      <c r="AG15" s="28"/>
      <c r="AH15" s="29"/>
      <c r="AI15" s="30"/>
    </row>
    <row r="16" spans="2:35" ht="15" x14ac:dyDescent="0.25">
      <c r="B16" s="10"/>
      <c r="C16" s="103" t="s">
        <v>131</v>
      </c>
      <c r="D16" s="12"/>
      <c r="E16" s="12"/>
      <c r="F16" s="12"/>
      <c r="G16" s="12"/>
      <c r="H16" s="12"/>
      <c r="I16" s="76"/>
      <c r="J16" s="12"/>
      <c r="K16" s="12"/>
      <c r="L16" s="12"/>
      <c r="M16" s="12"/>
      <c r="N16" s="12"/>
      <c r="O16" s="12"/>
      <c r="P16" s="12"/>
      <c r="Q16" s="11"/>
      <c r="AA16"/>
      <c r="AB16" s="31"/>
      <c r="AC16" s="28"/>
      <c r="AD16" s="28"/>
      <c r="AE16" s="28"/>
      <c r="AF16" s="28"/>
      <c r="AG16" s="28"/>
      <c r="AH16" s="29"/>
      <c r="AI16" s="30"/>
    </row>
    <row r="17" spans="2:35" ht="15" x14ac:dyDescent="0.25">
      <c r="B17" s="10"/>
      <c r="C17" s="1" t="s">
        <v>132</v>
      </c>
      <c r="D17" s="12"/>
      <c r="E17" s="12"/>
      <c r="F17" s="12"/>
      <c r="G17" s="12"/>
      <c r="H17" s="12"/>
      <c r="I17" s="76"/>
      <c r="J17" s="12"/>
      <c r="K17" s="12"/>
      <c r="L17" s="12"/>
      <c r="M17" s="12"/>
      <c r="N17" s="12"/>
      <c r="O17" s="12"/>
      <c r="P17" s="12"/>
      <c r="Q17" s="11"/>
      <c r="AA17"/>
      <c r="AB17" s="31"/>
      <c r="AC17" s="34" t="s">
        <v>18</v>
      </c>
      <c r="AD17" s="28"/>
      <c r="AE17" s="28"/>
      <c r="AF17" s="28"/>
      <c r="AG17" s="28"/>
      <c r="AH17" s="29"/>
      <c r="AI17" s="30"/>
    </row>
    <row r="18" spans="2:35" ht="15" x14ac:dyDescent="0.25">
      <c r="B18" s="10"/>
      <c r="C18" s="12"/>
      <c r="D18" s="12"/>
      <c r="E18" s="12"/>
      <c r="F18" s="12"/>
      <c r="G18" s="12"/>
      <c r="H18" s="12"/>
      <c r="I18" s="76"/>
      <c r="J18" s="12"/>
      <c r="K18" s="12"/>
      <c r="L18" s="12"/>
      <c r="M18" s="12"/>
      <c r="N18" s="12"/>
      <c r="O18" s="12"/>
      <c r="P18" s="12"/>
      <c r="Q18" s="11"/>
      <c r="AA18"/>
      <c r="AB18" s="31"/>
      <c r="AC18" s="28"/>
      <c r="AD18" s="28"/>
      <c r="AE18" s="28"/>
      <c r="AF18" s="28"/>
      <c r="AG18" s="28"/>
      <c r="AH18" s="29"/>
      <c r="AI18" s="30"/>
    </row>
    <row r="19" spans="2:35" ht="15" x14ac:dyDescent="0.25">
      <c r="B19" s="10"/>
      <c r="C19" s="14" t="s">
        <v>3</v>
      </c>
      <c r="D19" s="12"/>
      <c r="E19" s="12"/>
      <c r="F19" s="12"/>
      <c r="G19" s="12"/>
      <c r="H19" s="12"/>
      <c r="I19" s="76"/>
      <c r="J19" s="12"/>
      <c r="K19" s="12"/>
      <c r="L19" s="12"/>
      <c r="M19" s="12"/>
      <c r="N19" s="12"/>
      <c r="O19" s="12"/>
      <c r="P19" s="12"/>
      <c r="Q19" s="11"/>
      <c r="AA19"/>
      <c r="AB19" s="31"/>
      <c r="AC19" s="134" t="s">
        <v>19</v>
      </c>
      <c r="AD19" s="135"/>
      <c r="AE19" s="135"/>
      <c r="AF19" s="135"/>
      <c r="AG19" s="136"/>
      <c r="AH19" s="3">
        <f>IF('Circular Pipe - Polym.'!H34=0,'Circular Pipe - Polym.'!AH12,'Circular Pipe - Polym.'!AH13)</f>
        <v>0.61789412025085744</v>
      </c>
      <c r="AI19" s="30"/>
    </row>
    <row r="20" spans="2:35" ht="15" x14ac:dyDescent="0.25">
      <c r="B20" s="10"/>
      <c r="C20" s="12"/>
      <c r="D20" s="12"/>
      <c r="E20" s="12"/>
      <c r="F20" s="12"/>
      <c r="G20" s="12"/>
      <c r="H20" s="12"/>
      <c r="I20" s="76"/>
      <c r="J20" s="12"/>
      <c r="K20" s="12"/>
      <c r="L20" s="12"/>
      <c r="M20" s="12"/>
      <c r="N20" s="12"/>
      <c r="O20" s="12"/>
      <c r="P20" s="12"/>
      <c r="Q20" s="11"/>
      <c r="AA20"/>
      <c r="AB20" s="31"/>
      <c r="AC20" s="137" t="s">
        <v>20</v>
      </c>
      <c r="AD20" s="137"/>
      <c r="AE20" s="137"/>
      <c r="AF20" s="137"/>
      <c r="AG20" s="138"/>
      <c r="AH20" s="3">
        <f>MIN(AH8/'Circular Pipe - Polym.'!H65,1)</f>
        <v>0.62666666666666659</v>
      </c>
      <c r="AI20" s="30"/>
    </row>
    <row r="21" spans="2:35" ht="45" customHeight="1" x14ac:dyDescent="0.25">
      <c r="B21" s="10"/>
      <c r="C21" s="162" t="s">
        <v>153</v>
      </c>
      <c r="D21" s="163"/>
      <c r="E21" s="163"/>
      <c r="F21" s="163"/>
      <c r="G21" s="164"/>
      <c r="H21" s="6">
        <v>1.2</v>
      </c>
      <c r="I21" s="76"/>
      <c r="J21" s="12"/>
      <c r="K21" s="12"/>
      <c r="L21" s="12"/>
      <c r="M21" s="12"/>
      <c r="N21" s="12"/>
      <c r="O21" s="12"/>
      <c r="P21" s="12"/>
      <c r="Q21" s="11"/>
      <c r="AA21"/>
      <c r="AB21" s="31"/>
      <c r="AC21" s="137" t="s">
        <v>14</v>
      </c>
      <c r="AD21" s="137"/>
      <c r="AE21" s="137"/>
      <c r="AF21" s="137"/>
      <c r="AG21" s="138"/>
      <c r="AH21" s="3">
        <f>IF('Circular Pipe - Polym.'!H34=0,0,'Circular Pipe - Polym.'!AH14)</f>
        <v>0</v>
      </c>
      <c r="AI21" s="30"/>
    </row>
    <row r="22" spans="2:35" ht="110.1" customHeight="1" x14ac:dyDescent="0.25">
      <c r="B22" s="10"/>
      <c r="C22" s="162" t="s">
        <v>190</v>
      </c>
      <c r="D22" s="163"/>
      <c r="E22" s="163"/>
      <c r="F22" s="163"/>
      <c r="G22" s="164"/>
      <c r="H22" s="6">
        <v>16000</v>
      </c>
      <c r="I22" s="102" t="s">
        <v>98</v>
      </c>
      <c r="J22" s="12"/>
      <c r="K22" s="12"/>
      <c r="L22" s="12"/>
      <c r="M22" s="12"/>
      <c r="N22" s="12"/>
      <c r="O22" s="12"/>
      <c r="P22" s="12"/>
      <c r="Q22" s="11"/>
      <c r="AA22"/>
      <c r="AB22" s="31"/>
      <c r="AC22" s="57"/>
      <c r="AD22" s="57"/>
      <c r="AE22" s="57"/>
      <c r="AF22" s="57"/>
      <c r="AG22" s="57"/>
      <c r="AH22" s="2"/>
      <c r="AI22" s="30"/>
    </row>
    <row r="23" spans="2:35" ht="30" customHeight="1" x14ac:dyDescent="0.25">
      <c r="B23" s="10"/>
      <c r="C23" s="162" t="s">
        <v>180</v>
      </c>
      <c r="D23" s="163"/>
      <c r="E23" s="163"/>
      <c r="F23" s="163"/>
      <c r="G23" s="164"/>
      <c r="H23" s="6">
        <v>24</v>
      </c>
      <c r="I23" s="102" t="s">
        <v>119</v>
      </c>
      <c r="J23" s="12"/>
      <c r="K23" s="12"/>
      <c r="L23" s="12"/>
      <c r="M23" s="12"/>
      <c r="N23" s="12"/>
      <c r="O23" s="12"/>
      <c r="P23" s="12"/>
      <c r="Q23" s="11"/>
      <c r="AA23"/>
      <c r="AB23" s="31"/>
      <c r="AC23" s="69"/>
      <c r="AD23" s="69"/>
      <c r="AE23" s="69"/>
      <c r="AF23" s="69"/>
      <c r="AG23" s="69"/>
      <c r="AH23" s="2"/>
      <c r="AI23" s="30"/>
    </row>
    <row r="24" spans="2:35" ht="105" customHeight="1" x14ac:dyDescent="0.25">
      <c r="B24" s="10"/>
      <c r="C24" s="162" t="s">
        <v>181</v>
      </c>
      <c r="D24" s="163"/>
      <c r="E24" s="163"/>
      <c r="F24" s="163"/>
      <c r="G24" s="164"/>
      <c r="H24" s="6">
        <v>1.1499999999999999</v>
      </c>
      <c r="I24" s="77"/>
      <c r="J24" s="12"/>
      <c r="K24" s="12"/>
      <c r="L24" s="12"/>
      <c r="M24" s="12"/>
      <c r="N24" s="12"/>
      <c r="O24" s="12"/>
      <c r="P24" s="12"/>
      <c r="Q24" s="11"/>
      <c r="AA24"/>
      <c r="AB24" s="31"/>
      <c r="AC24" s="183" t="s">
        <v>242</v>
      </c>
      <c r="AD24" s="184"/>
      <c r="AE24" s="184"/>
      <c r="AF24" s="184"/>
      <c r="AG24" s="185"/>
      <c r="AH24" s="3">
        <f>(H28-H25)/H24</f>
        <v>33.04347826086957</v>
      </c>
      <c r="AI24" s="30"/>
    </row>
    <row r="25" spans="2:35" ht="45" customHeight="1" x14ac:dyDescent="0.25">
      <c r="B25" s="10"/>
      <c r="C25" s="162" t="s">
        <v>231</v>
      </c>
      <c r="D25" s="163"/>
      <c r="E25" s="163"/>
      <c r="F25" s="163"/>
      <c r="G25" s="164"/>
      <c r="H25" s="6">
        <v>10</v>
      </c>
      <c r="I25" s="102" t="s">
        <v>119</v>
      </c>
      <c r="J25" s="12"/>
      <c r="K25" s="12"/>
      <c r="L25" s="12"/>
      <c r="M25" s="100" t="s">
        <v>10</v>
      </c>
      <c r="N25" s="12"/>
      <c r="O25" s="12"/>
      <c r="P25" s="12"/>
      <c r="Q25" s="11"/>
      <c r="AA25"/>
      <c r="AB25" s="31"/>
      <c r="AC25" s="69"/>
      <c r="AD25" s="69"/>
      <c r="AE25" s="69"/>
      <c r="AF25" s="69"/>
      <c r="AG25" s="69"/>
      <c r="AH25" s="3">
        <f>IF(H23&lt;AH24,H25+H24*H23,H25+H28+H24*H23)</f>
        <v>37.599999999999994</v>
      </c>
      <c r="AI25" s="30"/>
    </row>
    <row r="26" spans="2:35" ht="45" customHeight="1" x14ac:dyDescent="0.25">
      <c r="B26" s="10"/>
      <c r="C26" s="162" t="s">
        <v>232</v>
      </c>
      <c r="D26" s="163"/>
      <c r="E26" s="163"/>
      <c r="F26" s="163"/>
      <c r="G26" s="164"/>
      <c r="H26" s="6">
        <v>20</v>
      </c>
      <c r="I26" s="102" t="s">
        <v>119</v>
      </c>
      <c r="J26" s="12"/>
      <c r="K26" s="12"/>
      <c r="L26" s="12"/>
      <c r="M26" s="12"/>
      <c r="N26" s="12"/>
      <c r="O26" s="12"/>
      <c r="P26" s="12"/>
      <c r="Q26" s="11"/>
      <c r="AA26"/>
      <c r="AB26" s="31"/>
      <c r="AC26" s="69"/>
      <c r="AD26" s="69"/>
      <c r="AE26" s="69"/>
      <c r="AF26" s="69"/>
      <c r="AG26" s="69"/>
      <c r="AH26" s="2"/>
      <c r="AI26" s="30"/>
    </row>
    <row r="27" spans="2:35" ht="45" customHeight="1" x14ac:dyDescent="0.25">
      <c r="B27" s="10"/>
      <c r="C27" s="162" t="s">
        <v>182</v>
      </c>
      <c r="D27" s="163"/>
      <c r="E27" s="163"/>
      <c r="F27" s="163"/>
      <c r="G27" s="164"/>
      <c r="H27" s="6">
        <v>72</v>
      </c>
      <c r="I27" s="102" t="s">
        <v>119</v>
      </c>
      <c r="J27" s="12"/>
      <c r="K27" s="12"/>
      <c r="L27" s="12"/>
      <c r="M27" s="12"/>
      <c r="N27" s="12"/>
      <c r="O27" s="12"/>
      <c r="P27" s="12"/>
      <c r="Q27" s="11"/>
      <c r="AA27"/>
      <c r="AB27" s="31"/>
      <c r="AC27" s="69"/>
      <c r="AD27" s="69"/>
      <c r="AE27" s="69"/>
      <c r="AF27" s="69"/>
      <c r="AG27" s="69"/>
      <c r="AH27" s="2"/>
      <c r="AI27" s="30"/>
    </row>
    <row r="28" spans="2:35" ht="45" customHeight="1" x14ac:dyDescent="0.25">
      <c r="B28" s="10"/>
      <c r="C28" s="162" t="s">
        <v>243</v>
      </c>
      <c r="D28" s="163"/>
      <c r="E28" s="163"/>
      <c r="F28" s="163"/>
      <c r="G28" s="164"/>
      <c r="H28" s="6">
        <v>48</v>
      </c>
      <c r="I28" s="102" t="s">
        <v>119</v>
      </c>
      <c r="J28" s="12"/>
      <c r="K28" s="12"/>
      <c r="L28" s="12"/>
      <c r="M28" s="12"/>
      <c r="N28" s="12"/>
      <c r="O28" s="12"/>
      <c r="P28" s="12"/>
      <c r="Q28" s="11"/>
      <c r="AA28"/>
      <c r="AB28" s="31"/>
      <c r="AC28" s="119"/>
      <c r="AD28" s="119"/>
      <c r="AE28" s="119"/>
      <c r="AF28" s="119"/>
      <c r="AG28" s="119"/>
      <c r="AH28" s="2"/>
      <c r="AI28" s="30"/>
    </row>
    <row r="29" spans="2:35" ht="20.100000000000001" customHeight="1" x14ac:dyDescent="0.25">
      <c r="B29" s="10"/>
      <c r="C29" s="159" t="s">
        <v>157</v>
      </c>
      <c r="D29" s="167"/>
      <c r="E29" s="167"/>
      <c r="F29" s="167"/>
      <c r="G29" s="168"/>
      <c r="H29" s="6">
        <v>60</v>
      </c>
      <c r="I29" s="102" t="s">
        <v>119</v>
      </c>
      <c r="J29" s="12"/>
      <c r="K29" s="12"/>
      <c r="L29" s="12"/>
      <c r="M29" s="12"/>
      <c r="N29" s="12"/>
      <c r="O29" s="12"/>
      <c r="P29" s="12"/>
      <c r="Q29" s="11"/>
      <c r="AA29"/>
      <c r="AB29" s="31"/>
      <c r="AC29" s="69"/>
      <c r="AD29" s="69"/>
      <c r="AE29" s="69"/>
      <c r="AF29" s="69"/>
      <c r="AG29" s="69"/>
      <c r="AH29" s="2"/>
      <c r="AI29" s="30"/>
    </row>
    <row r="30" spans="2:35" ht="20.100000000000001" customHeight="1" x14ac:dyDescent="0.25">
      <c r="B30" s="10"/>
      <c r="C30" s="159" t="s">
        <v>156</v>
      </c>
      <c r="D30" s="167"/>
      <c r="E30" s="167"/>
      <c r="F30" s="167"/>
      <c r="G30" s="168"/>
      <c r="H30" s="6">
        <v>120</v>
      </c>
      <c r="I30" s="102" t="s">
        <v>99</v>
      </c>
      <c r="J30" s="12"/>
      <c r="K30" s="12"/>
      <c r="L30" s="12"/>
      <c r="M30" s="12"/>
      <c r="N30" s="12"/>
      <c r="O30" s="12"/>
      <c r="P30" s="12"/>
      <c r="Q30" s="11"/>
      <c r="AA30"/>
      <c r="AB30" s="31"/>
      <c r="AC30" s="69"/>
      <c r="AD30" s="69"/>
      <c r="AE30" s="69"/>
      <c r="AF30" s="69"/>
      <c r="AG30" s="69"/>
      <c r="AH30" s="2"/>
      <c r="AI30" s="30"/>
    </row>
    <row r="31" spans="2:35" ht="110.1" customHeight="1" x14ac:dyDescent="0.25">
      <c r="B31" s="10"/>
      <c r="C31" s="162" t="s">
        <v>152</v>
      </c>
      <c r="D31" s="163"/>
      <c r="E31" s="163"/>
      <c r="F31" s="163"/>
      <c r="G31" s="164"/>
      <c r="H31" s="6">
        <v>0</v>
      </c>
      <c r="I31" s="102" t="s">
        <v>100</v>
      </c>
      <c r="J31" s="12"/>
      <c r="K31" s="12"/>
      <c r="L31" s="12"/>
      <c r="M31" s="12"/>
      <c r="N31" s="12"/>
      <c r="O31" s="12"/>
      <c r="P31" s="12"/>
      <c r="Q31" s="11"/>
      <c r="AA31"/>
      <c r="AB31" s="31"/>
      <c r="AC31" s="69"/>
      <c r="AD31" s="69"/>
      <c r="AE31" s="69"/>
      <c r="AF31" s="69"/>
      <c r="AG31" s="69"/>
      <c r="AH31" s="2"/>
      <c r="AI31" s="30"/>
    </row>
    <row r="32" spans="2:35" ht="15.75" hidden="1" customHeight="1" x14ac:dyDescent="0.25">
      <c r="B32" s="10"/>
      <c r="C32" s="199" t="s">
        <v>9</v>
      </c>
      <c r="D32" s="200"/>
      <c r="E32" s="200"/>
      <c r="F32" s="200"/>
      <c r="G32" s="201"/>
      <c r="H32" s="67">
        <f>H29/12</f>
        <v>5</v>
      </c>
      <c r="I32" s="76"/>
      <c r="J32" s="12"/>
      <c r="K32" s="12"/>
      <c r="L32" s="12"/>
      <c r="M32" s="12"/>
      <c r="N32" s="12"/>
      <c r="O32" s="12"/>
      <c r="P32" s="12"/>
      <c r="Q32" s="11"/>
      <c r="AA32"/>
      <c r="AB32" s="31"/>
      <c r="AC32" s="69"/>
      <c r="AD32" s="69"/>
      <c r="AE32" s="69"/>
      <c r="AF32" s="69"/>
      <c r="AG32" s="69"/>
      <c r="AH32" s="2"/>
      <c r="AI32" s="30"/>
    </row>
    <row r="33" spans="2:35" ht="84.95" customHeight="1" x14ac:dyDescent="0.25">
      <c r="B33" s="10"/>
      <c r="C33" s="180" t="s">
        <v>158</v>
      </c>
      <c r="D33" s="181"/>
      <c r="E33" s="181"/>
      <c r="F33" s="181"/>
      <c r="G33" s="182"/>
      <c r="H33" s="45">
        <v>0.19239999999999999</v>
      </c>
      <c r="I33" s="76"/>
      <c r="J33" s="12"/>
      <c r="K33" s="12"/>
      <c r="L33" s="12"/>
      <c r="M33" s="100" t="s">
        <v>15</v>
      </c>
      <c r="N33" s="12"/>
      <c r="O33" s="12"/>
      <c r="P33" s="12"/>
      <c r="Q33" s="11"/>
      <c r="AA33"/>
      <c r="AB33" s="31"/>
      <c r="AC33" s="69"/>
      <c r="AD33" s="69"/>
      <c r="AE33" s="69"/>
      <c r="AF33" s="69"/>
      <c r="AG33" s="69"/>
      <c r="AH33" s="2"/>
      <c r="AI33" s="30"/>
    </row>
    <row r="34" spans="2:35" ht="45" customHeight="1" x14ac:dyDescent="0.25">
      <c r="B34" s="10"/>
      <c r="C34" s="180" t="s">
        <v>159</v>
      </c>
      <c r="D34" s="181"/>
      <c r="E34" s="181"/>
      <c r="F34" s="181"/>
      <c r="G34" s="182"/>
      <c r="H34" s="6">
        <v>0</v>
      </c>
      <c r="I34" s="102" t="s">
        <v>101</v>
      </c>
      <c r="J34" s="12"/>
      <c r="K34" s="12"/>
      <c r="L34" s="12"/>
      <c r="M34" s="13"/>
      <c r="N34" s="12"/>
      <c r="O34" s="12"/>
      <c r="P34" s="12"/>
      <c r="Q34" s="11"/>
      <c r="AA34"/>
      <c r="AB34" s="31"/>
      <c r="AC34" s="69"/>
      <c r="AD34" s="69"/>
      <c r="AE34" s="69"/>
      <c r="AF34" s="69"/>
      <c r="AG34" s="69"/>
      <c r="AH34" s="2"/>
      <c r="AI34" s="30"/>
    </row>
    <row r="35" spans="2:35" ht="15.75" hidden="1" x14ac:dyDescent="0.25">
      <c r="B35" s="10"/>
      <c r="C35" s="202" t="s">
        <v>11</v>
      </c>
      <c r="D35" s="202"/>
      <c r="E35" s="202"/>
      <c r="F35" s="202"/>
      <c r="G35" s="203"/>
      <c r="H35" s="67">
        <f>H29/12</f>
        <v>5</v>
      </c>
      <c r="I35" s="76"/>
      <c r="J35" s="12"/>
      <c r="K35" s="12"/>
      <c r="L35" s="12"/>
      <c r="M35" s="13"/>
      <c r="N35" s="12"/>
      <c r="O35" s="12"/>
      <c r="P35" s="12"/>
      <c r="Q35" s="11"/>
      <c r="AA35"/>
      <c r="AB35" s="31"/>
      <c r="AC35" s="69"/>
      <c r="AD35" s="69"/>
      <c r="AE35" s="69"/>
      <c r="AF35" s="69"/>
      <c r="AG35" s="69"/>
      <c r="AH35" s="2"/>
      <c r="AI35" s="30"/>
    </row>
    <row r="36" spans="2:35" ht="15" x14ac:dyDescent="0.25">
      <c r="B36" s="10"/>
      <c r="C36" s="93"/>
      <c r="D36" s="93"/>
      <c r="E36" s="93"/>
      <c r="F36" s="93"/>
      <c r="G36" s="93"/>
      <c r="H36" s="96"/>
      <c r="I36" s="76"/>
      <c r="J36" s="12"/>
      <c r="K36" s="12"/>
      <c r="L36" s="12"/>
      <c r="M36" s="100"/>
      <c r="N36" s="12"/>
      <c r="O36" s="12"/>
      <c r="P36" s="12"/>
      <c r="Q36" s="11"/>
      <c r="AA36"/>
      <c r="AB36" s="31"/>
      <c r="AC36" s="69"/>
      <c r="AD36" s="69"/>
      <c r="AE36" s="69"/>
      <c r="AF36" s="69"/>
      <c r="AG36" s="69"/>
      <c r="AH36" s="2"/>
      <c r="AI36" s="30"/>
    </row>
    <row r="37" spans="2:35" ht="30" customHeight="1" x14ac:dyDescent="0.25">
      <c r="B37" s="10"/>
      <c r="C37" s="154" t="s">
        <v>27</v>
      </c>
      <c r="D37" s="155"/>
      <c r="E37" s="155"/>
      <c r="F37" s="155"/>
      <c r="G37" s="156"/>
      <c r="H37" s="44" t="s">
        <v>28</v>
      </c>
      <c r="I37" s="76"/>
      <c r="J37" s="12"/>
      <c r="K37" s="12"/>
      <c r="L37" s="12"/>
      <c r="M37" s="66"/>
      <c r="N37" s="12"/>
      <c r="O37" s="12"/>
      <c r="P37" s="12"/>
      <c r="Q37" s="11"/>
      <c r="AA37"/>
      <c r="AB37" s="31"/>
      <c r="AC37" s="69"/>
      <c r="AD37" s="69"/>
      <c r="AE37" s="69"/>
      <c r="AF37" s="69"/>
      <c r="AG37" s="69"/>
      <c r="AH37" s="2"/>
      <c r="AI37" s="30"/>
    </row>
    <row r="38" spans="2:35" ht="15" x14ac:dyDescent="0.25">
      <c r="B38" s="10"/>
      <c r="C38" s="93"/>
      <c r="D38" s="93"/>
      <c r="E38" s="93"/>
      <c r="F38" s="93"/>
      <c r="G38" s="93"/>
      <c r="H38" s="94"/>
      <c r="I38" s="76"/>
      <c r="J38" s="12"/>
      <c r="K38" s="12"/>
      <c r="L38" s="12"/>
      <c r="M38" s="13"/>
      <c r="N38" s="12"/>
      <c r="O38" s="12"/>
      <c r="P38" s="12"/>
      <c r="Q38" s="11"/>
      <c r="AA38"/>
      <c r="AB38" s="31"/>
      <c r="AC38" s="57"/>
      <c r="AD38" s="57"/>
      <c r="AE38" s="41"/>
      <c r="AF38" s="57"/>
      <c r="AG38" s="57"/>
      <c r="AH38" s="2"/>
      <c r="AI38" s="30"/>
    </row>
    <row r="39" spans="2:35" ht="30" customHeight="1" x14ac:dyDescent="0.25">
      <c r="B39" s="10"/>
      <c r="C39" s="190" t="str">
        <f>IF(H37="Single Span","","Specify the distance between inside faces of end walls perpendicular to roadway")</f>
        <v/>
      </c>
      <c r="D39" s="190"/>
      <c r="E39" s="190"/>
      <c r="F39" s="190"/>
      <c r="G39" s="190"/>
      <c r="H39" s="114">
        <v>0</v>
      </c>
      <c r="I39" s="76" t="str">
        <f>IF(H37="Single Span","","ft")</f>
        <v/>
      </c>
      <c r="J39" s="42"/>
      <c r="K39" s="12"/>
      <c r="L39" s="12"/>
      <c r="M39" s="36" t="s">
        <v>22</v>
      </c>
      <c r="N39" s="12"/>
      <c r="O39" s="12"/>
      <c r="P39" s="12"/>
      <c r="Q39" s="11"/>
      <c r="AA39"/>
      <c r="AB39" s="31"/>
      <c r="AC39" s="58" t="s">
        <v>28</v>
      </c>
      <c r="AD39" s="57"/>
      <c r="AE39" s="57"/>
      <c r="AF39" s="57"/>
      <c r="AG39" s="57"/>
      <c r="AH39" s="2"/>
      <c r="AI39" s="30"/>
    </row>
    <row r="40" spans="2:35" ht="25.5" x14ac:dyDescent="0.25">
      <c r="B40" s="10"/>
      <c r="C40" s="14"/>
      <c r="D40" s="12"/>
      <c r="E40" s="12"/>
      <c r="F40" s="12"/>
      <c r="G40" s="12"/>
      <c r="H40" s="12"/>
      <c r="I40" s="76"/>
      <c r="J40" s="12"/>
      <c r="K40" s="12"/>
      <c r="L40" s="12"/>
      <c r="M40" s="13"/>
      <c r="N40" s="12"/>
      <c r="O40" s="12"/>
      <c r="P40" s="12"/>
      <c r="Q40" s="11"/>
      <c r="AA40"/>
      <c r="AB40" s="31"/>
      <c r="AC40" s="58" t="s">
        <v>26</v>
      </c>
      <c r="AD40" s="57"/>
      <c r="AE40" s="57"/>
      <c r="AF40" s="57"/>
      <c r="AG40" s="57"/>
      <c r="AH40" s="2"/>
      <c r="AI40" s="30"/>
    </row>
    <row r="41" spans="2:35" ht="15.75" thickBot="1" x14ac:dyDescent="0.3">
      <c r="B41" s="10"/>
      <c r="C41" s="16" t="s">
        <v>5</v>
      </c>
      <c r="D41" s="12"/>
      <c r="E41" s="12"/>
      <c r="F41" s="12"/>
      <c r="G41" s="12"/>
      <c r="H41" s="12"/>
      <c r="I41" s="76"/>
      <c r="J41" s="12"/>
      <c r="K41" s="12"/>
      <c r="L41" s="12"/>
      <c r="M41" s="12"/>
      <c r="N41" s="12"/>
      <c r="O41" s="12"/>
      <c r="P41" s="12"/>
      <c r="Q41" s="11"/>
      <c r="AA41"/>
      <c r="AB41" s="35"/>
      <c r="AC41" s="40"/>
      <c r="AD41" s="40"/>
      <c r="AE41" s="40"/>
      <c r="AF41" s="40"/>
      <c r="AG41" s="40"/>
      <c r="AH41" s="32"/>
      <c r="AI41" s="33"/>
    </row>
    <row r="42" spans="2:35" ht="15" x14ac:dyDescent="0.25">
      <c r="B42" s="10"/>
      <c r="C42" s="16"/>
      <c r="D42" s="12"/>
      <c r="E42" s="12"/>
      <c r="F42" s="12"/>
      <c r="G42" s="12"/>
      <c r="H42" s="12"/>
      <c r="I42" s="76"/>
      <c r="J42" s="12"/>
      <c r="K42" s="12"/>
      <c r="L42" s="12"/>
      <c r="M42" s="12"/>
      <c r="N42" s="12"/>
      <c r="O42" s="12"/>
      <c r="P42" s="12"/>
      <c r="Q42" s="11"/>
      <c r="AA42"/>
      <c r="AB42"/>
      <c r="AC42"/>
      <c r="AD42"/>
      <c r="AE42"/>
      <c r="AF42"/>
      <c r="AG42"/>
      <c r="AH42" s="2"/>
      <c r="AI42"/>
    </row>
    <row r="43" spans="2:35" ht="30" customHeight="1" x14ac:dyDescent="0.25">
      <c r="B43" s="10"/>
      <c r="C43" s="169" t="s">
        <v>160</v>
      </c>
      <c r="D43" s="123"/>
      <c r="E43" s="123"/>
      <c r="F43" s="123"/>
      <c r="G43" s="124"/>
      <c r="H43" s="1">
        <f>(1-EXP('Circular Pipe - Polym.'!AC56))/(2*H33)</f>
        <v>0.37073647215051442</v>
      </c>
      <c r="I43" s="76"/>
      <c r="J43" s="12"/>
      <c r="K43" s="12"/>
      <c r="L43" s="12"/>
      <c r="M43" s="12"/>
      <c r="N43" s="12"/>
      <c r="O43" s="12"/>
      <c r="P43" s="12"/>
      <c r="Q43" s="11"/>
      <c r="AA43"/>
      <c r="AB43"/>
      <c r="AC43" t="s">
        <v>86</v>
      </c>
      <c r="AD43"/>
      <c r="AE43"/>
      <c r="AF43"/>
      <c r="AG43"/>
      <c r="AH43" s="2"/>
      <c r="AI43"/>
    </row>
    <row r="44" spans="2:35" ht="20.100000000000001" customHeight="1" x14ac:dyDescent="0.25">
      <c r="B44" s="10"/>
      <c r="C44" s="159" t="s">
        <v>161</v>
      </c>
      <c r="D44" s="167"/>
      <c r="E44" s="167"/>
      <c r="F44" s="167"/>
      <c r="G44" s="168"/>
      <c r="H44" s="1">
        <f>IF(H37="Single Span",IF(H23&lt;=96,(H21*H22*'Circular Pipe - Polym.'!AH7)/('Circular Pipe - Polym.'!AH8*'Circular Pipe - Polym.'!AH11),0),IF(H23&lt;=(H39*12),(H21*H22*'Circular Pipe - Polym.'!AH7)/('Circular Pipe - Polym.'!AH8*'Circular Pipe - Polym.'!AH11),0))</f>
        <v>12.441821808510642</v>
      </c>
      <c r="I44" s="102" t="s">
        <v>103</v>
      </c>
      <c r="J44" s="12"/>
      <c r="K44" s="12"/>
      <c r="L44" s="12"/>
      <c r="M44" s="12"/>
      <c r="N44" s="12"/>
      <c r="O44" s="12"/>
      <c r="P44" s="12"/>
      <c r="Q44" s="11"/>
      <c r="AA44"/>
      <c r="AB44"/>
      <c r="AC44" t="s">
        <v>92</v>
      </c>
      <c r="AD44"/>
      <c r="AE44"/>
      <c r="AF44"/>
      <c r="AG44"/>
      <c r="AH44" s="2"/>
      <c r="AI44"/>
    </row>
    <row r="45" spans="2:35" ht="35.1" customHeight="1" x14ac:dyDescent="0.25">
      <c r="B45" s="10"/>
      <c r="C45" s="154" t="s">
        <v>184</v>
      </c>
      <c r="D45" s="181"/>
      <c r="E45" s="181"/>
      <c r="F45" s="181"/>
      <c r="G45" s="182"/>
      <c r="H45" s="1">
        <f>'Circular Pipe - Polym.'!AH19</f>
        <v>0.61789412025085744</v>
      </c>
      <c r="I45" s="102" t="s">
        <v>103</v>
      </c>
      <c r="J45" s="12"/>
      <c r="K45" s="12"/>
      <c r="L45" s="12"/>
      <c r="M45" s="12"/>
      <c r="N45" s="12"/>
      <c r="O45" s="12"/>
      <c r="P45" s="12"/>
      <c r="Q45" s="11"/>
      <c r="AA45"/>
      <c r="AB45"/>
      <c r="AC45" t="s">
        <v>87</v>
      </c>
      <c r="AD45"/>
      <c r="AE45"/>
      <c r="AF45"/>
      <c r="AG45"/>
      <c r="AH45" s="2"/>
      <c r="AI45"/>
    </row>
    <row r="46" spans="2:35" ht="20.100000000000001" customHeight="1" x14ac:dyDescent="0.25">
      <c r="B46" s="10"/>
      <c r="C46" s="159" t="s">
        <v>192</v>
      </c>
      <c r="D46" s="167"/>
      <c r="E46" s="167"/>
      <c r="F46" s="167"/>
      <c r="G46" s="168"/>
      <c r="H46" s="1">
        <f>'Circular Pipe - Polym.'!AH21</f>
        <v>0</v>
      </c>
      <c r="I46" s="102" t="s">
        <v>103</v>
      </c>
      <c r="J46" s="12"/>
      <c r="K46" s="12"/>
      <c r="L46" s="12"/>
      <c r="M46" s="12"/>
      <c r="N46" s="12"/>
      <c r="O46" s="12"/>
      <c r="P46" s="12"/>
      <c r="Q46" s="11"/>
      <c r="AA46"/>
      <c r="AB46"/>
      <c r="AC46" t="s">
        <v>90</v>
      </c>
      <c r="AD46"/>
      <c r="AE46"/>
      <c r="AF46"/>
      <c r="AG46"/>
      <c r="AH46" s="2"/>
      <c r="AI46"/>
    </row>
    <row r="47" spans="2:35" ht="15" x14ac:dyDescent="0.25">
      <c r="B47" s="10"/>
      <c r="C47" s="12"/>
      <c r="D47" s="12"/>
      <c r="E47" s="12"/>
      <c r="F47" s="12"/>
      <c r="G47" s="12"/>
      <c r="H47" s="12"/>
      <c r="I47" s="76"/>
      <c r="J47" s="12"/>
      <c r="K47" s="12"/>
      <c r="L47" s="12"/>
      <c r="M47" s="12"/>
      <c r="N47" s="12"/>
      <c r="O47" s="12"/>
      <c r="P47" s="12"/>
      <c r="Q47" s="11"/>
      <c r="AA47"/>
      <c r="AB47"/>
      <c r="AC47" t="s">
        <v>88</v>
      </c>
      <c r="AD47"/>
      <c r="AE47"/>
      <c r="AF47"/>
      <c r="AG47"/>
      <c r="AH47" s="2"/>
      <c r="AI47"/>
    </row>
    <row r="48" spans="2:35" ht="15" customHeight="1" x14ac:dyDescent="0.25">
      <c r="B48" s="10"/>
      <c r="C48" s="212" t="str">
        <f>IF(H37="Single Span",IF(H23&lt;=96,"","Note: The effects of live load is neglected."),IF(H23&lt;=(H39*12),"","Note: The effects of live load is neglected."))</f>
        <v/>
      </c>
      <c r="D48" s="212"/>
      <c r="E48" s="212"/>
      <c r="F48" s="212"/>
      <c r="G48" s="212"/>
      <c r="H48" s="12"/>
      <c r="I48" s="76"/>
      <c r="J48" s="12"/>
      <c r="K48" s="12"/>
      <c r="L48" s="12"/>
      <c r="M48" s="12"/>
      <c r="N48" s="12"/>
      <c r="O48" s="12"/>
      <c r="P48" s="12"/>
      <c r="Q48" s="11"/>
      <c r="AA48"/>
      <c r="AB48"/>
      <c r="AC48" t="s">
        <v>89</v>
      </c>
      <c r="AD48"/>
      <c r="AE48"/>
      <c r="AF48"/>
      <c r="AG48"/>
      <c r="AH48" s="2"/>
      <c r="AI48"/>
    </row>
    <row r="49" spans="2:35" ht="54.95" customHeight="1" x14ac:dyDescent="0.25">
      <c r="B49" s="10"/>
      <c r="C49" s="213" t="str">
        <f>IF(H37="Single Span",IF(H23&lt;=96,"","Per AASHTO LRFD Bridge Design Specifications, 8th Ed, Section 3.6.1.2.6a: For single-span culverts, the effects of live load may be neglected where the depth of fill is more than 8.0 ft. and exceeds the span length."),IF(H23&lt;=(H39*12),"","Per AASHTO LRFD Bridge Design Specifications, 8th Ed, Section 3.6.1.2.6a: For multiple span culverts, the effects of live load may be neglected where the depth of fill exceeds the distance between inside faces of end walls."))</f>
        <v/>
      </c>
      <c r="D49" s="213"/>
      <c r="E49" s="213"/>
      <c r="F49" s="213"/>
      <c r="G49" s="213"/>
      <c r="H49" s="12"/>
      <c r="I49" s="76"/>
      <c r="J49" s="12"/>
      <c r="K49" s="12"/>
      <c r="L49" s="12"/>
      <c r="M49" s="12"/>
      <c r="N49" s="12"/>
      <c r="O49" s="12"/>
      <c r="P49" s="12"/>
      <c r="Q49" s="11"/>
      <c r="AA49"/>
      <c r="AB49"/>
      <c r="AC49" t="s">
        <v>91</v>
      </c>
      <c r="AD49"/>
      <c r="AE49"/>
      <c r="AF49"/>
      <c r="AG49"/>
      <c r="AH49" s="2"/>
      <c r="AI49"/>
    </row>
    <row r="50" spans="2:35" ht="15" customHeight="1" x14ac:dyDescent="0.25">
      <c r="B50" s="10"/>
      <c r="C50" s="12"/>
      <c r="D50" s="12"/>
      <c r="E50" s="12"/>
      <c r="F50" s="12"/>
      <c r="G50" s="12"/>
      <c r="H50" s="12"/>
      <c r="I50" s="76"/>
      <c r="J50" s="12"/>
      <c r="K50" s="12"/>
      <c r="L50" s="12"/>
      <c r="M50" s="12"/>
      <c r="N50" s="12"/>
      <c r="O50" s="12"/>
      <c r="P50" s="12"/>
      <c r="Q50" s="11"/>
      <c r="AA50"/>
      <c r="AB50"/>
      <c r="AC50" t="s">
        <v>94</v>
      </c>
      <c r="AD50"/>
      <c r="AE50"/>
      <c r="AF50"/>
      <c r="AG50"/>
      <c r="AH50" s="2"/>
      <c r="AI50"/>
    </row>
    <row r="51" spans="2:35" ht="15" customHeight="1" x14ac:dyDescent="0.25">
      <c r="B51" s="10"/>
      <c r="C51" s="14" t="s">
        <v>67</v>
      </c>
      <c r="D51" s="12"/>
      <c r="E51" s="12"/>
      <c r="F51" s="12"/>
      <c r="G51" s="12"/>
      <c r="H51" s="12"/>
      <c r="I51" s="76"/>
      <c r="J51" s="12"/>
      <c r="K51" s="12"/>
      <c r="L51" s="12"/>
      <c r="M51" s="12"/>
      <c r="N51" s="12"/>
      <c r="O51" s="12"/>
      <c r="P51" s="12"/>
      <c r="Q51" s="11"/>
      <c r="AA51"/>
      <c r="AB51"/>
      <c r="AC51"/>
      <c r="AD51"/>
      <c r="AE51"/>
      <c r="AF51"/>
      <c r="AG51"/>
      <c r="AH51" s="2"/>
      <c r="AI51"/>
    </row>
    <row r="52" spans="2:35" ht="9.9499999999999993" customHeight="1" x14ac:dyDescent="0.25">
      <c r="B52" s="10"/>
      <c r="C52" s="14"/>
      <c r="D52" s="12"/>
      <c r="E52" s="12"/>
      <c r="F52" s="12"/>
      <c r="G52" s="12"/>
      <c r="H52" s="12"/>
      <c r="I52" s="76"/>
      <c r="J52" s="12"/>
      <c r="K52" s="12"/>
      <c r="L52" s="12"/>
      <c r="M52" s="12"/>
      <c r="N52" s="12"/>
      <c r="O52" s="12"/>
      <c r="P52" s="12"/>
      <c r="Q52" s="11"/>
      <c r="AA52"/>
      <c r="AB52"/>
      <c r="AC52"/>
      <c r="AD52"/>
      <c r="AE52"/>
      <c r="AF52"/>
      <c r="AG52"/>
      <c r="AH52" s="2"/>
      <c r="AI52"/>
    </row>
    <row r="53" spans="2:35" ht="15" x14ac:dyDescent="0.25">
      <c r="B53" s="10"/>
      <c r="C53" s="14" t="s">
        <v>70</v>
      </c>
      <c r="D53" s="12"/>
      <c r="E53" s="12"/>
      <c r="F53" s="12"/>
      <c r="G53" s="12"/>
      <c r="H53" s="12"/>
      <c r="I53" s="76"/>
      <c r="J53" s="12"/>
      <c r="K53" s="12"/>
      <c r="L53" s="12"/>
      <c r="M53" s="12"/>
      <c r="N53" s="12"/>
      <c r="O53" s="12"/>
      <c r="P53" s="12"/>
      <c r="Q53" s="11"/>
      <c r="AA53"/>
      <c r="AB53"/>
      <c r="AC53"/>
      <c r="AD53"/>
      <c r="AE53"/>
      <c r="AF53"/>
      <c r="AG53"/>
      <c r="AH53" s="2"/>
      <c r="AI53"/>
    </row>
    <row r="54" spans="2:35" ht="9.9499999999999993" customHeight="1" x14ac:dyDescent="0.25">
      <c r="B54" s="10"/>
      <c r="C54" s="14"/>
      <c r="D54" s="12"/>
      <c r="E54" s="12"/>
      <c r="F54" s="12"/>
      <c r="G54" s="12"/>
      <c r="H54" s="12"/>
      <c r="I54" s="76"/>
      <c r="J54" s="12"/>
      <c r="K54" s="12"/>
      <c r="L54" s="12"/>
      <c r="M54" s="12"/>
      <c r="N54" s="12"/>
      <c r="O54" s="12"/>
      <c r="P54" s="12"/>
      <c r="Q54" s="11"/>
      <c r="AA54"/>
      <c r="AB54"/>
      <c r="AC54"/>
      <c r="AD54"/>
      <c r="AE54"/>
      <c r="AF54"/>
      <c r="AG54"/>
      <c r="AH54" s="2"/>
      <c r="AI54"/>
    </row>
    <row r="55" spans="2:35" ht="15.75" hidden="1" x14ac:dyDescent="0.3">
      <c r="B55" s="10"/>
      <c r="C55" s="165" t="s">
        <v>66</v>
      </c>
      <c r="D55" s="165"/>
      <c r="E55" s="165"/>
      <c r="F55" s="165"/>
      <c r="G55" s="166"/>
      <c r="H55" s="65">
        <f>H29</f>
        <v>60</v>
      </c>
      <c r="I55" s="76"/>
      <c r="J55" s="12"/>
      <c r="K55" s="12"/>
      <c r="L55" s="12"/>
      <c r="M55" s="12"/>
      <c r="N55" s="12"/>
      <c r="O55" s="12"/>
      <c r="P55" s="12"/>
      <c r="Q55" s="11"/>
      <c r="AA55" s="133"/>
      <c r="AB55" s="133"/>
      <c r="AC55" s="84"/>
      <c r="AD55"/>
      <c r="AE55"/>
      <c r="AF55"/>
      <c r="AG55"/>
      <c r="AH55" s="2"/>
      <c r="AI55"/>
    </row>
    <row r="56" spans="2:35" ht="15" hidden="1" x14ac:dyDescent="0.25">
      <c r="B56" s="10"/>
      <c r="C56" s="165" t="s">
        <v>113</v>
      </c>
      <c r="D56" s="165"/>
      <c r="E56" s="165"/>
      <c r="F56" s="165"/>
      <c r="G56" s="166"/>
      <c r="H56" s="65">
        <f>H55</f>
        <v>60</v>
      </c>
      <c r="I56" s="77"/>
      <c r="J56" s="12"/>
      <c r="K56" s="12"/>
      <c r="L56" s="12"/>
      <c r="M56" s="12"/>
      <c r="N56" s="12"/>
      <c r="O56" s="12"/>
      <c r="P56" s="12"/>
      <c r="Q56" s="11"/>
      <c r="AA56" s="133" t="s">
        <v>123</v>
      </c>
      <c r="AB56" s="133"/>
      <c r="AC56" s="84">
        <f>-2*'Circular Pipe - Polym.'!H33*'Circular Pipe - Polym.'!H23/('Circular Pipe - Polym.'!H32*12)</f>
        <v>-0.15391999999999997</v>
      </c>
      <c r="AD56"/>
      <c r="AE56"/>
      <c r="AF56"/>
      <c r="AG56"/>
      <c r="AH56" s="2"/>
      <c r="AI56"/>
    </row>
    <row r="57" spans="2:35" ht="30" customHeight="1" x14ac:dyDescent="0.25">
      <c r="B57" s="10"/>
      <c r="C57" s="169" t="s">
        <v>162</v>
      </c>
      <c r="D57" s="123"/>
      <c r="E57" s="123"/>
      <c r="F57" s="123"/>
      <c r="G57" s="124"/>
      <c r="H57" s="6">
        <v>1.2</v>
      </c>
      <c r="I57" s="102" t="s">
        <v>119</v>
      </c>
      <c r="J57" s="12"/>
      <c r="K57" s="12"/>
      <c r="L57" s="12"/>
      <c r="M57" s="13"/>
      <c r="N57" s="12"/>
      <c r="O57" s="12"/>
      <c r="P57" s="12"/>
      <c r="Q57" s="11"/>
      <c r="AA57"/>
      <c r="AB57"/>
      <c r="AC57"/>
      <c r="AD57"/>
      <c r="AE57"/>
      <c r="AF57"/>
      <c r="AG57"/>
      <c r="AH57" s="2"/>
      <c r="AI57"/>
    </row>
    <row r="58" spans="2:35" ht="30" customHeight="1" x14ac:dyDescent="0.25">
      <c r="B58" s="10"/>
      <c r="C58" s="154" t="s">
        <v>195</v>
      </c>
      <c r="D58" s="155"/>
      <c r="E58" s="155"/>
      <c r="F58" s="155"/>
      <c r="G58" s="156"/>
      <c r="H58" s="45">
        <v>4.5600000000000002E-2</v>
      </c>
      <c r="I58" s="102" t="s">
        <v>102</v>
      </c>
      <c r="J58" s="12"/>
      <c r="K58" s="12"/>
      <c r="L58" s="12"/>
      <c r="M58" s="13"/>
      <c r="N58" s="12"/>
      <c r="O58" s="12"/>
      <c r="P58" s="12"/>
      <c r="Q58" s="11"/>
      <c r="AA58"/>
      <c r="AB58"/>
      <c r="AC58"/>
      <c r="AD58"/>
      <c r="AE58"/>
      <c r="AF58"/>
      <c r="AG58"/>
      <c r="AH58" s="2"/>
      <c r="AI58"/>
    </row>
    <row r="59" spans="2:35" ht="60" customHeight="1" x14ac:dyDescent="0.25">
      <c r="B59" s="10"/>
      <c r="C59" s="162" t="s">
        <v>193</v>
      </c>
      <c r="D59" s="163"/>
      <c r="E59" s="163"/>
      <c r="F59" s="163"/>
      <c r="G59" s="164"/>
      <c r="H59" s="6">
        <v>1</v>
      </c>
      <c r="I59" s="76"/>
      <c r="J59" s="12"/>
      <c r="K59" s="12"/>
      <c r="L59" s="12"/>
      <c r="M59" s="66"/>
      <c r="N59" s="12"/>
      <c r="O59" s="12"/>
      <c r="P59" s="12"/>
      <c r="Q59" s="11"/>
      <c r="AA59"/>
      <c r="AB59"/>
      <c r="AC59"/>
      <c r="AD59"/>
      <c r="AE59"/>
      <c r="AF59"/>
      <c r="AG59"/>
      <c r="AH59" s="2"/>
      <c r="AI59"/>
    </row>
    <row r="60" spans="2:35" ht="60" customHeight="1" x14ac:dyDescent="0.25">
      <c r="B60" s="10"/>
      <c r="C60" s="162" t="s">
        <v>194</v>
      </c>
      <c r="D60" s="163"/>
      <c r="E60" s="163"/>
      <c r="F60" s="163"/>
      <c r="G60" s="164"/>
      <c r="H60" s="59">
        <v>8.3000000000000004E-2</v>
      </c>
      <c r="I60" s="76"/>
      <c r="J60" s="12"/>
      <c r="K60" s="12"/>
      <c r="L60" s="12"/>
      <c r="M60" s="100"/>
      <c r="N60" s="12"/>
      <c r="O60" s="12"/>
      <c r="P60" s="12"/>
      <c r="Q60" s="11"/>
      <c r="AA60"/>
      <c r="AB60"/>
      <c r="AC60"/>
      <c r="AD60"/>
      <c r="AE60"/>
      <c r="AF60"/>
      <c r="AG60"/>
      <c r="AH60" s="2"/>
      <c r="AI60"/>
    </row>
    <row r="61" spans="2:35" ht="110.1" customHeight="1" x14ac:dyDescent="0.25">
      <c r="B61" s="10"/>
      <c r="C61" s="154" t="s">
        <v>230</v>
      </c>
      <c r="D61" s="163"/>
      <c r="E61" s="163"/>
      <c r="F61" s="163"/>
      <c r="G61" s="164"/>
      <c r="H61" s="6">
        <v>735</v>
      </c>
      <c r="I61" s="102" t="s">
        <v>110</v>
      </c>
      <c r="J61" s="12"/>
      <c r="K61" s="12"/>
      <c r="L61" s="12"/>
      <c r="M61" s="12"/>
      <c r="N61" s="12"/>
      <c r="O61" s="12"/>
      <c r="P61" s="12"/>
      <c r="Q61" s="11"/>
      <c r="AA61"/>
      <c r="AB61"/>
      <c r="AC61"/>
      <c r="AD61"/>
      <c r="AE61"/>
      <c r="AF61"/>
      <c r="AG61"/>
      <c r="AH61" s="2"/>
      <c r="AI61"/>
    </row>
    <row r="62" spans="2:35" ht="30" hidden="1" customHeight="1" x14ac:dyDescent="0.25">
      <c r="B62" s="10"/>
      <c r="I62" s="4"/>
      <c r="J62" s="12"/>
      <c r="K62" s="12"/>
      <c r="L62" s="12"/>
      <c r="M62" s="12"/>
      <c r="N62" s="12"/>
      <c r="O62" s="12"/>
      <c r="P62" s="12"/>
      <c r="Q62" s="11"/>
      <c r="AA62"/>
      <c r="AB62"/>
      <c r="AC62"/>
      <c r="AD62"/>
      <c r="AE62"/>
      <c r="AF62"/>
      <c r="AG62"/>
      <c r="AH62" s="2"/>
      <c r="AI62"/>
    </row>
    <row r="63" spans="2:35" ht="15" hidden="1" customHeight="1" x14ac:dyDescent="0.25">
      <c r="B63" s="10"/>
      <c r="C63" s="162" t="s">
        <v>112</v>
      </c>
      <c r="D63" s="163"/>
      <c r="E63" s="163"/>
      <c r="F63" s="163"/>
      <c r="G63" s="164"/>
      <c r="H63" s="67">
        <f>(H55-H57)*0.5</f>
        <v>29.4</v>
      </c>
      <c r="I63" s="102" t="s">
        <v>119</v>
      </c>
      <c r="J63" s="12"/>
      <c r="K63" s="12"/>
      <c r="L63" s="12"/>
      <c r="M63" s="36"/>
      <c r="N63" s="12"/>
      <c r="O63" s="12"/>
      <c r="P63" s="12"/>
      <c r="Q63" s="11"/>
      <c r="AA63"/>
      <c r="AB63"/>
      <c r="AC63"/>
      <c r="AD63"/>
      <c r="AE63"/>
      <c r="AF63"/>
      <c r="AG63"/>
      <c r="AH63" s="2"/>
      <c r="AI63"/>
    </row>
    <row r="64" spans="2:35" ht="84.95" customHeight="1" x14ac:dyDescent="0.25">
      <c r="B64" s="10"/>
      <c r="C64" s="162" t="s">
        <v>196</v>
      </c>
      <c r="D64" s="163"/>
      <c r="E64" s="163"/>
      <c r="F64" s="163"/>
      <c r="G64" s="164"/>
      <c r="H64" s="59">
        <v>0.503</v>
      </c>
      <c r="I64" s="102" t="s">
        <v>110</v>
      </c>
      <c r="J64" s="12"/>
      <c r="K64" s="12"/>
      <c r="L64" s="12"/>
      <c r="M64" s="36"/>
      <c r="N64" s="12"/>
      <c r="O64" s="12"/>
      <c r="P64" s="12"/>
      <c r="Q64" s="11"/>
      <c r="AA64"/>
      <c r="AB64"/>
      <c r="AC64"/>
      <c r="AD64"/>
      <c r="AE64"/>
      <c r="AF64"/>
      <c r="AG64"/>
      <c r="AH64" s="2"/>
      <c r="AI64"/>
    </row>
    <row r="65" spans="2:35" ht="15" hidden="1" customHeight="1" x14ac:dyDescent="0.25">
      <c r="B65" s="10"/>
      <c r="C65" s="199" t="s">
        <v>21</v>
      </c>
      <c r="D65" s="200"/>
      <c r="E65" s="200"/>
      <c r="F65" s="200"/>
      <c r="G65" s="201"/>
      <c r="H65" s="98">
        <f>H55</f>
        <v>60</v>
      </c>
      <c r="I65" s="76"/>
      <c r="J65" s="12"/>
      <c r="K65" s="12"/>
      <c r="L65" s="12"/>
      <c r="M65" s="36"/>
      <c r="N65" s="12"/>
      <c r="O65" s="12"/>
      <c r="P65" s="12"/>
      <c r="Q65" s="11"/>
      <c r="AA65"/>
      <c r="AB65"/>
      <c r="AC65"/>
      <c r="AD65"/>
      <c r="AE65"/>
      <c r="AF65"/>
      <c r="AG65"/>
      <c r="AH65" s="2"/>
      <c r="AI65"/>
    </row>
    <row r="66" spans="2:35" ht="35.1" customHeight="1" x14ac:dyDescent="0.2">
      <c r="B66" s="10"/>
      <c r="C66" s="154" t="s">
        <v>197</v>
      </c>
      <c r="D66" s="155"/>
      <c r="E66" s="155"/>
      <c r="F66" s="155"/>
      <c r="G66" s="156"/>
      <c r="H66" s="99">
        <v>0.05</v>
      </c>
      <c r="I66" s="102" t="s">
        <v>111</v>
      </c>
      <c r="J66" s="12"/>
      <c r="K66" s="12"/>
      <c r="L66" s="12"/>
      <c r="M66" s="12"/>
      <c r="N66" s="12"/>
      <c r="O66" s="12"/>
      <c r="P66" s="12"/>
      <c r="Q66" s="11"/>
    </row>
    <row r="67" spans="2:35" ht="20.100000000000001" customHeight="1" x14ac:dyDescent="0.25">
      <c r="B67" s="10"/>
      <c r="C67" s="53" t="s">
        <v>69</v>
      </c>
      <c r="D67" s="61"/>
      <c r="E67" s="61"/>
      <c r="F67" s="61"/>
      <c r="G67" s="61"/>
      <c r="H67" s="18"/>
      <c r="I67" s="76"/>
      <c r="J67" s="12"/>
      <c r="K67" s="12"/>
      <c r="L67" s="12"/>
      <c r="M67" s="36"/>
      <c r="N67" s="12"/>
      <c r="O67" s="12"/>
      <c r="P67" s="12"/>
      <c r="Q67" s="11"/>
      <c r="AC67" s="110" t="s">
        <v>140</v>
      </c>
      <c r="AE67" s="4">
        <f>IF(C48="Note: The effects of live load is neglected.",0,1)</f>
        <v>1</v>
      </c>
    </row>
    <row r="68" spans="2:35" ht="35.1" customHeight="1" x14ac:dyDescent="0.25">
      <c r="B68" s="10"/>
      <c r="C68" s="154" t="s">
        <v>198</v>
      </c>
      <c r="D68" s="160"/>
      <c r="E68" s="160"/>
      <c r="F68" s="160"/>
      <c r="G68" s="161"/>
      <c r="H68" s="1">
        <f>H66*H56</f>
        <v>3</v>
      </c>
      <c r="I68" s="102" t="s">
        <v>119</v>
      </c>
      <c r="J68" s="12"/>
      <c r="K68" s="12"/>
      <c r="L68" s="12"/>
      <c r="M68" s="36"/>
      <c r="N68" s="12"/>
      <c r="O68" s="12"/>
      <c r="P68" s="12"/>
      <c r="Q68" s="11"/>
      <c r="AC68" s="110">
        <v>0.19239999999999999</v>
      </c>
    </row>
    <row r="69" spans="2:35" ht="35.1" customHeight="1" x14ac:dyDescent="0.25">
      <c r="B69" s="10"/>
      <c r="C69" s="154" t="s">
        <v>199</v>
      </c>
      <c r="D69" s="160"/>
      <c r="E69" s="160"/>
      <c r="F69" s="160"/>
      <c r="G69" s="161"/>
      <c r="H69" s="1">
        <f>((H60*(H59*H45+'Circular Pipe - Polym.'!AH20*'Circular Pipe - Polym.'!H44)*'Circular Pipe - Polym.'!H55))/(1000*(((H61*H58/(H63^3))+0.061*H64)))</f>
        <v>1.3094709030005571</v>
      </c>
      <c r="I69" s="102" t="s">
        <v>119</v>
      </c>
      <c r="J69" s="151" t="str">
        <f>IF(H69&lt;=H68,"Δt ≤ Δa - Deflection within limits","Δt &gt; Δa - Deflection exceeds limit")</f>
        <v>Δt ≤ Δa - Deflection within limits</v>
      </c>
      <c r="K69" s="151"/>
      <c r="L69" s="151"/>
      <c r="M69" s="151"/>
      <c r="N69" s="151"/>
      <c r="O69" s="151"/>
      <c r="P69" s="12"/>
      <c r="Q69" s="11"/>
      <c r="AC69" s="110">
        <v>0.16500000000000001</v>
      </c>
    </row>
    <row r="70" spans="2:35" ht="15" customHeight="1" x14ac:dyDescent="0.25">
      <c r="B70" s="10"/>
      <c r="C70" s="60"/>
      <c r="D70" s="60"/>
      <c r="E70" s="60"/>
      <c r="F70" s="60"/>
      <c r="G70" s="60"/>
      <c r="H70" s="18"/>
      <c r="I70" s="76"/>
      <c r="J70" s="12"/>
      <c r="K70" s="12"/>
      <c r="L70" s="12"/>
      <c r="M70" s="12"/>
      <c r="N70" s="12"/>
      <c r="O70" s="12"/>
      <c r="P70" s="12"/>
      <c r="Q70" s="11"/>
      <c r="AC70" s="110">
        <v>0.15</v>
      </c>
    </row>
    <row r="71" spans="2:35" ht="15" customHeight="1" x14ac:dyDescent="0.25">
      <c r="B71" s="10"/>
      <c r="C71" s="14" t="s">
        <v>67</v>
      </c>
      <c r="D71" s="60"/>
      <c r="E71" s="60"/>
      <c r="F71" s="60"/>
      <c r="G71" s="60"/>
      <c r="H71" s="18"/>
      <c r="I71" s="76"/>
      <c r="J71" s="12"/>
      <c r="K71" s="12"/>
      <c r="L71" s="12"/>
      <c r="M71" s="12"/>
      <c r="N71" s="12"/>
      <c r="O71" s="12"/>
      <c r="P71" s="12"/>
      <c r="Q71" s="11"/>
      <c r="AC71" s="110">
        <v>0.13</v>
      </c>
    </row>
    <row r="72" spans="2:35" ht="9.9499999999999993" customHeight="1" x14ac:dyDescent="0.25">
      <c r="B72" s="10"/>
      <c r="C72" s="14"/>
      <c r="D72" s="60"/>
      <c r="E72" s="60"/>
      <c r="F72" s="60"/>
      <c r="G72" s="60"/>
      <c r="H72" s="18"/>
      <c r="I72" s="76"/>
      <c r="J72" s="12"/>
      <c r="K72" s="12"/>
      <c r="L72" s="12"/>
      <c r="M72" s="12"/>
      <c r="N72" s="12"/>
      <c r="O72" s="12"/>
      <c r="P72" s="12"/>
      <c r="Q72" s="11"/>
      <c r="AC72" s="110">
        <v>0.11</v>
      </c>
    </row>
    <row r="73" spans="2:35" ht="15" customHeight="1" x14ac:dyDescent="0.25">
      <c r="B73" s="10"/>
      <c r="C73" s="14" t="s">
        <v>127</v>
      </c>
      <c r="D73" s="60"/>
      <c r="E73" s="60"/>
      <c r="F73" s="60"/>
      <c r="G73" s="60"/>
      <c r="H73" s="18"/>
      <c r="I73" s="76"/>
      <c r="J73" s="12"/>
      <c r="K73" s="12"/>
      <c r="L73" s="12"/>
      <c r="M73" s="12"/>
      <c r="N73" s="12"/>
      <c r="O73" s="12"/>
      <c r="P73" s="12"/>
      <c r="Q73" s="11"/>
    </row>
    <row r="74" spans="2:35" ht="9.9499999999999993" customHeight="1" x14ac:dyDescent="0.25">
      <c r="B74" s="10"/>
      <c r="C74" s="60"/>
      <c r="D74" s="60"/>
      <c r="E74" s="60"/>
      <c r="F74" s="60"/>
      <c r="G74" s="60"/>
      <c r="H74" s="18"/>
      <c r="I74" s="76"/>
      <c r="J74" s="12"/>
      <c r="K74" s="12"/>
      <c r="L74" s="12"/>
      <c r="M74" s="12"/>
      <c r="N74" s="12"/>
      <c r="O74" s="12"/>
      <c r="P74" s="12"/>
      <c r="Q74" s="11"/>
    </row>
    <row r="75" spans="2:35" ht="30" customHeight="1" x14ac:dyDescent="0.2">
      <c r="B75" s="10"/>
      <c r="C75" s="154" t="s">
        <v>236</v>
      </c>
      <c r="D75" s="155"/>
      <c r="E75" s="155"/>
      <c r="F75" s="155"/>
      <c r="G75" s="156"/>
      <c r="H75" s="6">
        <v>1</v>
      </c>
      <c r="I75" s="76"/>
      <c r="J75" s="12"/>
      <c r="K75" s="12"/>
      <c r="L75" s="12"/>
      <c r="M75" s="12"/>
      <c r="N75" s="12"/>
      <c r="O75" s="12"/>
      <c r="P75" s="12"/>
      <c r="Q75" s="11"/>
    </row>
    <row r="76" spans="2:35" ht="75" customHeight="1" x14ac:dyDescent="0.2">
      <c r="B76" s="10"/>
      <c r="C76" s="162" t="s">
        <v>200</v>
      </c>
      <c r="D76" s="163"/>
      <c r="E76" s="163"/>
      <c r="F76" s="163"/>
      <c r="G76" s="164"/>
      <c r="H76" s="62">
        <v>1.3</v>
      </c>
      <c r="I76" s="76"/>
      <c r="J76" s="12"/>
      <c r="K76" s="12"/>
      <c r="L76" s="12"/>
      <c r="M76" s="12"/>
      <c r="N76" s="12"/>
      <c r="O76" s="12"/>
      <c r="P76" s="12"/>
      <c r="Q76" s="11"/>
    </row>
    <row r="77" spans="2:35" ht="20.100000000000001" customHeight="1" x14ac:dyDescent="0.2">
      <c r="B77" s="10"/>
      <c r="C77" s="154" t="s">
        <v>201</v>
      </c>
      <c r="D77" s="155"/>
      <c r="E77" s="155"/>
      <c r="F77" s="155"/>
      <c r="G77" s="156"/>
      <c r="H77" s="6">
        <v>1.75</v>
      </c>
      <c r="I77" s="76"/>
      <c r="J77" s="12"/>
      <c r="K77" s="12"/>
      <c r="L77" s="12"/>
      <c r="M77" s="12"/>
      <c r="N77" s="12"/>
      <c r="O77" s="12"/>
      <c r="P77" s="12"/>
      <c r="Q77" s="11"/>
    </row>
    <row r="78" spans="2:35" ht="50.1" customHeight="1" x14ac:dyDescent="0.2">
      <c r="B78" s="10"/>
      <c r="C78" s="154" t="s">
        <v>235</v>
      </c>
      <c r="D78" s="155"/>
      <c r="E78" s="155"/>
      <c r="F78" s="155"/>
      <c r="G78" s="156"/>
      <c r="H78" s="6">
        <v>1</v>
      </c>
      <c r="I78" s="76"/>
      <c r="J78" s="12"/>
      <c r="K78" s="12"/>
      <c r="L78" s="12"/>
      <c r="M78" s="12"/>
      <c r="N78" s="12"/>
      <c r="O78" s="12"/>
      <c r="P78" s="12"/>
      <c r="Q78" s="11"/>
    </row>
    <row r="79" spans="2:35" ht="50.1" customHeight="1" x14ac:dyDescent="0.2">
      <c r="B79" s="10"/>
      <c r="C79" s="221" t="s">
        <v>237</v>
      </c>
      <c r="D79" s="222"/>
      <c r="E79" s="222"/>
      <c r="F79" s="222"/>
      <c r="G79" s="223"/>
      <c r="H79" s="6">
        <v>1</v>
      </c>
      <c r="I79" s="76"/>
      <c r="J79" s="12"/>
      <c r="K79" s="12"/>
      <c r="L79" s="12"/>
      <c r="M79" s="12"/>
      <c r="N79" s="12"/>
      <c r="O79" s="12"/>
      <c r="P79" s="12"/>
      <c r="Q79" s="11"/>
    </row>
    <row r="80" spans="2:35" ht="15" hidden="1" customHeight="1" x14ac:dyDescent="0.2">
      <c r="B80" s="10"/>
      <c r="C80" s="190" t="s">
        <v>146</v>
      </c>
      <c r="D80" s="190"/>
      <c r="E80" s="190"/>
      <c r="F80" s="190"/>
      <c r="G80" s="218"/>
      <c r="H80" s="67">
        <f>MAX(0.67,1-0.33*(H34/(H23/12)))</f>
        <v>1</v>
      </c>
      <c r="I80" s="76"/>
      <c r="J80" s="12"/>
      <c r="K80" s="12"/>
      <c r="L80" s="12"/>
      <c r="M80" s="12"/>
      <c r="N80" s="12"/>
      <c r="O80" s="12"/>
      <c r="P80" s="12"/>
      <c r="Q80" s="11"/>
    </row>
    <row r="81" spans="2:18" ht="15" hidden="1" customHeight="1" x14ac:dyDescent="0.2">
      <c r="B81" s="10"/>
      <c r="C81" s="190" t="s">
        <v>68</v>
      </c>
      <c r="D81" s="190"/>
      <c r="E81" s="190"/>
      <c r="F81" s="190"/>
      <c r="G81" s="218"/>
      <c r="H81" s="67">
        <f>(H55-H57)*0.5</f>
        <v>29.4</v>
      </c>
      <c r="I81" s="76"/>
      <c r="J81" s="12"/>
      <c r="K81" s="12"/>
      <c r="L81" s="12"/>
      <c r="M81" s="12"/>
      <c r="N81" s="12"/>
      <c r="O81" s="12"/>
      <c r="P81" s="12"/>
      <c r="Q81" s="11"/>
    </row>
    <row r="82" spans="2:18" ht="20.100000000000001" customHeight="1" x14ac:dyDescent="0.2">
      <c r="B82" s="10"/>
      <c r="C82" s="154" t="s">
        <v>202</v>
      </c>
      <c r="D82" s="155"/>
      <c r="E82" s="155"/>
      <c r="F82" s="155"/>
      <c r="G82" s="156"/>
      <c r="H82" s="6">
        <v>0.55000000000000004</v>
      </c>
      <c r="I82" s="76"/>
      <c r="J82" s="12"/>
      <c r="K82" s="12"/>
      <c r="L82" s="12"/>
      <c r="M82" s="12"/>
      <c r="N82" s="12"/>
      <c r="O82" s="12"/>
      <c r="P82" s="12"/>
      <c r="Q82" s="11"/>
    </row>
    <row r="83" spans="2:18" ht="60" customHeight="1" x14ac:dyDescent="0.2">
      <c r="B83" s="10"/>
      <c r="C83" s="162" t="s">
        <v>203</v>
      </c>
      <c r="D83" s="163"/>
      <c r="E83" s="163"/>
      <c r="F83" s="163"/>
      <c r="G83" s="164"/>
      <c r="H83" s="6">
        <v>0.9</v>
      </c>
      <c r="I83" s="76"/>
      <c r="J83" s="12"/>
      <c r="K83" s="12"/>
      <c r="L83" s="12"/>
      <c r="M83" s="12"/>
      <c r="N83" s="12"/>
      <c r="O83" s="12"/>
      <c r="P83" s="12"/>
      <c r="Q83" s="11"/>
    </row>
    <row r="84" spans="2:18" ht="30" customHeight="1" x14ac:dyDescent="0.2">
      <c r="B84" s="10"/>
      <c r="C84" s="154" t="s">
        <v>204</v>
      </c>
      <c r="D84" s="155"/>
      <c r="E84" s="155"/>
      <c r="F84" s="155"/>
      <c r="G84" s="156"/>
      <c r="H84" s="6">
        <v>0.7</v>
      </c>
      <c r="I84" s="76"/>
      <c r="J84" s="12"/>
      <c r="K84" s="12"/>
      <c r="L84" s="12"/>
      <c r="M84" s="12"/>
      <c r="N84" s="12"/>
      <c r="O84" s="12"/>
      <c r="P84" s="12"/>
      <c r="Q84" s="11"/>
    </row>
    <row r="85" spans="2:18" ht="110.1" customHeight="1" x14ac:dyDescent="0.2">
      <c r="B85" s="10"/>
      <c r="C85" s="154" t="s">
        <v>205</v>
      </c>
      <c r="D85" s="155"/>
      <c r="E85" s="155"/>
      <c r="F85" s="155"/>
      <c r="G85" s="156"/>
      <c r="H85" s="6">
        <v>529</v>
      </c>
      <c r="I85" s="102" t="s">
        <v>110</v>
      </c>
      <c r="J85" s="12"/>
      <c r="K85" s="12"/>
      <c r="L85" s="12"/>
      <c r="M85" s="12"/>
      <c r="N85" s="12"/>
      <c r="O85" s="12"/>
      <c r="P85" s="12"/>
      <c r="Q85" s="11"/>
    </row>
    <row r="86" spans="2:18" ht="20.100000000000001" customHeight="1" x14ac:dyDescent="0.2">
      <c r="B86" s="10"/>
      <c r="C86" s="154" t="s">
        <v>206</v>
      </c>
      <c r="D86" s="155"/>
      <c r="E86" s="155"/>
      <c r="F86" s="155"/>
      <c r="G86" s="156"/>
      <c r="H86" s="6">
        <v>0.3</v>
      </c>
      <c r="I86" s="76"/>
      <c r="J86" s="12"/>
      <c r="K86" s="12"/>
      <c r="L86" s="12"/>
      <c r="M86" s="12"/>
      <c r="N86" s="12"/>
      <c r="O86" s="12"/>
      <c r="P86" s="12"/>
      <c r="Q86" s="11"/>
    </row>
    <row r="87" spans="2:18" ht="15" customHeight="1" x14ac:dyDescent="0.2">
      <c r="B87" s="10"/>
      <c r="C87" s="92"/>
      <c r="D87" s="92"/>
      <c r="E87" s="92"/>
      <c r="F87" s="92"/>
      <c r="G87" s="92"/>
      <c r="H87" s="96"/>
      <c r="I87" s="76"/>
      <c r="J87" s="12"/>
      <c r="K87" s="12"/>
      <c r="L87" s="12"/>
      <c r="M87" s="12"/>
      <c r="N87" s="12"/>
      <c r="O87" s="12"/>
      <c r="P87" s="12"/>
      <c r="Q87" s="11"/>
    </row>
    <row r="88" spans="2:18" ht="20.100000000000001" customHeight="1" x14ac:dyDescent="0.25">
      <c r="B88" s="10"/>
      <c r="C88" s="95" t="s">
        <v>69</v>
      </c>
      <c r="D88" s="12"/>
      <c r="E88" s="12"/>
      <c r="F88" s="12"/>
      <c r="G88" s="12"/>
      <c r="H88" s="18"/>
      <c r="I88" s="76"/>
      <c r="J88" s="12"/>
      <c r="K88" s="12"/>
      <c r="L88" s="12"/>
      <c r="M88" s="12"/>
      <c r="N88" s="12"/>
      <c r="O88" s="12"/>
      <c r="P88" s="12"/>
      <c r="Q88" s="11"/>
    </row>
    <row r="89" spans="2:18" ht="30" customHeight="1" x14ac:dyDescent="0.2">
      <c r="B89" s="10"/>
      <c r="C89" s="154" t="s">
        <v>207</v>
      </c>
      <c r="D89" s="160"/>
      <c r="E89" s="160"/>
      <c r="F89" s="160"/>
      <c r="G89" s="161"/>
      <c r="H89" s="91">
        <f>((H75*H78*H34*0.433+H76*H78*H45*H80+H77*H79*'Circular Pipe - Polym.'!AH20*H44)*H81)/(1000*H85*H57)</f>
        <v>6.6913221806236267E-4</v>
      </c>
      <c r="I89" s="102" t="s">
        <v>128</v>
      </c>
      <c r="J89" s="214"/>
      <c r="K89" s="214"/>
      <c r="L89" s="214"/>
      <c r="M89" s="214"/>
      <c r="N89" s="214"/>
      <c r="O89" s="214"/>
      <c r="P89" s="12"/>
      <c r="Q89" s="11"/>
    </row>
    <row r="90" spans="2:18" ht="30" customHeight="1" x14ac:dyDescent="0.2">
      <c r="B90" s="10"/>
      <c r="C90" s="154" t="s">
        <v>208</v>
      </c>
      <c r="D90" s="160"/>
      <c r="E90" s="160"/>
      <c r="F90" s="160"/>
      <c r="G90" s="161"/>
      <c r="H90" s="91">
        <f>(1.2*H82*((H85*H58)^(1/3))*(((H83*H64*(1-2*H86))/((1-H86)^2))^(2/3))*(11.4/(11+(H55/H23))))/(H57*H85)</f>
        <v>1.3063750450690377E-3</v>
      </c>
      <c r="I90" s="102" t="s">
        <v>128</v>
      </c>
      <c r="J90" s="151" t="str">
        <f>IF(H89&lt;=(H84*H90),"The strength buckling limit state is satisfied by the "&amp;H57&amp;" inch-thick liner","The strength buckling limit state is Not satisfied by the "&amp;H57&amp;" inch-thick liner")</f>
        <v>The strength buckling limit state is satisfied by the 1.2 inch-thick liner</v>
      </c>
      <c r="K90" s="151"/>
      <c r="L90" s="151"/>
      <c r="M90" s="151"/>
      <c r="N90" s="151"/>
      <c r="O90" s="151"/>
      <c r="P90" s="12"/>
      <c r="Q90" s="11"/>
    </row>
    <row r="91" spans="2:18" ht="30" customHeight="1" x14ac:dyDescent="0.25">
      <c r="B91" s="10"/>
      <c r="C91" s="17"/>
      <c r="D91" s="12"/>
      <c r="E91" s="12"/>
      <c r="F91" s="12"/>
      <c r="G91" s="12"/>
      <c r="H91" s="18"/>
      <c r="I91" s="76"/>
      <c r="J91" s="213" t="str">
        <f>IF(H23&lt;=2*H55,"","Note: depth of fill over top of pipe (H) = "&amp;H23&amp;" in. used to calculate εbck is greater than two times the OD")</f>
        <v/>
      </c>
      <c r="K91" s="213"/>
      <c r="L91" s="213"/>
      <c r="M91" s="213"/>
      <c r="N91" s="213"/>
      <c r="O91" s="213"/>
      <c r="P91" s="12"/>
      <c r="Q91" s="11"/>
      <c r="R91" s="63"/>
    </row>
    <row r="92" spans="2:18" ht="15" customHeight="1" x14ac:dyDescent="0.25">
      <c r="B92" s="10"/>
      <c r="C92" s="14" t="s">
        <v>67</v>
      </c>
      <c r="D92" s="60"/>
      <c r="E92" s="60"/>
      <c r="F92" s="60"/>
      <c r="G92" s="60"/>
      <c r="H92" s="18"/>
      <c r="I92" s="76"/>
      <c r="J92" s="12"/>
      <c r="K92" s="12"/>
      <c r="L92" s="12"/>
      <c r="M92" s="12"/>
      <c r="N92" s="12"/>
      <c r="O92" s="12"/>
      <c r="P92" s="12"/>
      <c r="Q92" s="11"/>
    </row>
    <row r="93" spans="2:18" ht="9.9499999999999993" customHeight="1" x14ac:dyDescent="0.25">
      <c r="B93" s="10"/>
      <c r="C93" s="14"/>
      <c r="D93" s="60"/>
      <c r="E93" s="60"/>
      <c r="F93" s="60"/>
      <c r="G93" s="60"/>
      <c r="H93" s="18"/>
      <c r="I93" s="76"/>
      <c r="J93" s="12"/>
      <c r="K93" s="12"/>
      <c r="L93" s="12"/>
      <c r="M93" s="12"/>
      <c r="N93" s="12"/>
      <c r="O93" s="12"/>
      <c r="P93" s="12"/>
      <c r="Q93" s="11"/>
    </row>
    <row r="94" spans="2:18" ht="15" customHeight="1" x14ac:dyDescent="0.25">
      <c r="B94" s="10"/>
      <c r="C94" s="14" t="s">
        <v>129</v>
      </c>
      <c r="D94" s="60"/>
      <c r="E94" s="60"/>
      <c r="F94" s="60"/>
      <c r="G94" s="60"/>
      <c r="H94" s="18"/>
      <c r="I94" s="76"/>
      <c r="J94" s="12"/>
      <c r="K94" s="12"/>
      <c r="L94" s="12"/>
      <c r="M94" s="12"/>
      <c r="N94" s="12"/>
      <c r="O94" s="12"/>
      <c r="P94" s="12"/>
      <c r="Q94" s="11"/>
    </row>
    <row r="95" spans="2:18" ht="9.9499999999999993" customHeight="1" x14ac:dyDescent="0.25">
      <c r="B95" s="10"/>
      <c r="C95" s="60"/>
      <c r="D95" s="60"/>
      <c r="E95" s="60"/>
      <c r="F95" s="60"/>
      <c r="G95" s="60"/>
      <c r="H95" s="18"/>
      <c r="I95" s="76"/>
      <c r="J95" s="12"/>
      <c r="K95" s="12"/>
      <c r="L95" s="12"/>
      <c r="M95" s="12"/>
      <c r="N95" s="12"/>
      <c r="O95" s="12"/>
      <c r="P95" s="12"/>
      <c r="Q95" s="11"/>
    </row>
    <row r="96" spans="2:18" ht="30" customHeight="1" x14ac:dyDescent="0.2">
      <c r="B96" s="10"/>
      <c r="C96" s="122" t="s">
        <v>209</v>
      </c>
      <c r="D96" s="152"/>
      <c r="E96" s="152"/>
      <c r="F96" s="152"/>
      <c r="G96" s="153"/>
      <c r="H96" s="6">
        <v>0.9</v>
      </c>
      <c r="I96" s="76"/>
      <c r="J96" s="12"/>
      <c r="K96" s="12"/>
      <c r="L96" s="12"/>
      <c r="M96" s="12"/>
      <c r="N96" s="12"/>
      <c r="O96" s="12"/>
      <c r="P96" s="12"/>
      <c r="Q96" s="11"/>
    </row>
    <row r="97" spans="2:17" ht="50.1" customHeight="1" x14ac:dyDescent="0.2">
      <c r="B97" s="10"/>
      <c r="C97" s="215" t="s">
        <v>210</v>
      </c>
      <c r="D97" s="216"/>
      <c r="E97" s="216"/>
      <c r="F97" s="216"/>
      <c r="G97" s="217"/>
      <c r="H97" s="45">
        <v>1.2999999999999999E-2</v>
      </c>
      <c r="I97" s="76"/>
      <c r="J97" s="12"/>
      <c r="K97" s="12"/>
      <c r="L97" s="12"/>
      <c r="M97" s="12"/>
      <c r="N97" s="12"/>
      <c r="O97" s="12"/>
      <c r="P97" s="12"/>
      <c r="Q97" s="11"/>
    </row>
    <row r="98" spans="2:17" ht="60" customHeight="1" x14ac:dyDescent="0.2">
      <c r="B98" s="10"/>
      <c r="C98" s="215" t="s">
        <v>211</v>
      </c>
      <c r="D98" s="216"/>
      <c r="E98" s="216"/>
      <c r="F98" s="216"/>
      <c r="G98" s="217"/>
      <c r="H98" s="6">
        <v>5.5</v>
      </c>
      <c r="I98" s="219"/>
      <c r="J98" s="220"/>
      <c r="K98" s="220"/>
      <c r="L98" s="220"/>
      <c r="M98" s="220"/>
      <c r="N98" s="220"/>
      <c r="O98" s="12"/>
      <c r="P98" s="12"/>
      <c r="Q98" s="11"/>
    </row>
    <row r="99" spans="2:17" ht="15" x14ac:dyDescent="0.25">
      <c r="B99" s="10"/>
      <c r="C99" s="17"/>
      <c r="D99" s="12"/>
      <c r="E99" s="12"/>
      <c r="F99" s="12"/>
      <c r="G99" s="12"/>
      <c r="H99" s="18"/>
      <c r="I99" s="76"/>
      <c r="J99" s="12"/>
      <c r="K99" s="12"/>
      <c r="L99" s="12"/>
      <c r="M99" s="12"/>
      <c r="N99" s="12"/>
      <c r="O99" s="12"/>
      <c r="P99" s="12"/>
      <c r="Q99" s="11"/>
    </row>
    <row r="100" spans="2:17" ht="20.100000000000001" customHeight="1" x14ac:dyDescent="0.25">
      <c r="B100" s="10"/>
      <c r="C100" s="95" t="s">
        <v>69</v>
      </c>
      <c r="D100" s="12"/>
      <c r="E100" s="12"/>
      <c r="F100" s="12"/>
      <c r="G100" s="12"/>
      <c r="H100" s="18"/>
      <c r="I100" s="76"/>
      <c r="J100" s="12"/>
      <c r="K100" s="12"/>
      <c r="L100" s="12"/>
      <c r="M100" s="12"/>
      <c r="N100" s="12"/>
      <c r="O100" s="12"/>
      <c r="P100" s="12"/>
      <c r="Q100" s="11"/>
    </row>
    <row r="101" spans="2:17" ht="30" customHeight="1" x14ac:dyDescent="0.2">
      <c r="B101" s="10"/>
      <c r="C101" s="122" t="s">
        <v>212</v>
      </c>
      <c r="D101" s="152"/>
      <c r="E101" s="152"/>
      <c r="F101" s="152"/>
      <c r="G101" s="153"/>
      <c r="H101" s="91">
        <f>H76*H98*(H57/(H63*2))*(H68/(2*H63))</f>
        <v>7.4448146605581023E-3</v>
      </c>
      <c r="I101" s="76"/>
      <c r="J101" s="12"/>
      <c r="K101" s="12"/>
      <c r="L101" s="12"/>
      <c r="M101" s="12"/>
      <c r="N101" s="12"/>
      <c r="O101" s="12"/>
      <c r="P101" s="12"/>
      <c r="Q101" s="11"/>
    </row>
    <row r="102" spans="2:17" ht="30" customHeight="1" x14ac:dyDescent="0.2">
      <c r="B102" s="10"/>
      <c r="C102" s="122" t="s">
        <v>147</v>
      </c>
      <c r="D102" s="152"/>
      <c r="E102" s="152"/>
      <c r="F102" s="152"/>
      <c r="G102" s="153"/>
      <c r="H102" s="91">
        <f>H96*H97</f>
        <v>1.17E-2</v>
      </c>
      <c r="I102" s="76"/>
      <c r="J102" s="151" t="str">
        <f>IF(H101&lt;=H102,"εf ≤ ϕf Sb: The long-term strain due to the estimated deflection is acceptable","εf &gt; ϕf Sb: The long-term strain due to the estimated deflection is not acceptable")</f>
        <v>εf ≤ ϕf Sb: The long-term strain due to the estimated deflection is acceptable</v>
      </c>
      <c r="K102" s="151"/>
      <c r="L102" s="151"/>
      <c r="M102" s="151"/>
      <c r="N102" s="151"/>
      <c r="O102" s="151"/>
      <c r="P102" s="12"/>
      <c r="Q102" s="11"/>
    </row>
    <row r="103" spans="2:17" ht="15.75" thickBot="1" x14ac:dyDescent="0.3">
      <c r="B103" s="19"/>
      <c r="C103" s="64"/>
      <c r="D103" s="20"/>
      <c r="E103" s="20"/>
      <c r="F103" s="20"/>
      <c r="G103" s="20"/>
      <c r="H103" s="21"/>
      <c r="I103" s="81"/>
      <c r="J103" s="20"/>
      <c r="K103" s="20"/>
      <c r="L103" s="20"/>
      <c r="M103" s="20"/>
      <c r="N103" s="20"/>
      <c r="O103" s="20"/>
      <c r="P103" s="20"/>
      <c r="Q103" s="23"/>
    </row>
    <row r="104" spans="2:17" ht="25.5" customHeight="1" x14ac:dyDescent="0.25">
      <c r="H104" s="5"/>
    </row>
    <row r="105" spans="2:17" ht="25.5" customHeight="1" x14ac:dyDescent="0.25">
      <c r="H105" s="5"/>
    </row>
    <row r="106" spans="2:17" ht="25.5" customHeight="1" x14ac:dyDescent="0.25">
      <c r="H106" s="5"/>
    </row>
    <row r="107" spans="2:17" ht="25.5" customHeight="1" x14ac:dyDescent="0.25">
      <c r="H107" s="5"/>
    </row>
    <row r="108" spans="2:17" ht="25.5" customHeight="1" x14ac:dyDescent="0.25">
      <c r="H108" s="5"/>
    </row>
    <row r="109" spans="2:17" ht="25.5" customHeight="1" x14ac:dyDescent="0.25">
      <c r="H109" s="5"/>
    </row>
    <row r="110" spans="2:17" ht="25.5" customHeight="1" x14ac:dyDescent="0.25">
      <c r="H110" s="5"/>
    </row>
    <row r="111" spans="2:17" ht="25.5" customHeight="1" x14ac:dyDescent="0.25">
      <c r="H111" s="5"/>
    </row>
    <row r="112" spans="2:17" ht="25.5" customHeight="1" x14ac:dyDescent="0.25">
      <c r="H112" s="5"/>
    </row>
    <row r="113" spans="8:8" ht="25.5" customHeight="1" x14ac:dyDescent="0.25">
      <c r="H113" s="5"/>
    </row>
    <row r="114" spans="8:8" ht="25.5" customHeight="1" x14ac:dyDescent="0.25">
      <c r="H114" s="5"/>
    </row>
    <row r="115" spans="8:8" ht="25.5" customHeight="1" x14ac:dyDescent="0.25">
      <c r="H115" s="5"/>
    </row>
    <row r="116" spans="8:8" ht="25.5" customHeight="1" x14ac:dyDescent="0.25">
      <c r="H116" s="5"/>
    </row>
    <row r="117" spans="8:8" ht="25.5" customHeight="1" x14ac:dyDescent="0.25">
      <c r="H117" s="5"/>
    </row>
    <row r="118" spans="8:8" ht="25.5" customHeight="1" x14ac:dyDescent="0.25">
      <c r="H118" s="5"/>
    </row>
    <row r="119" spans="8:8" ht="25.5" customHeight="1" x14ac:dyDescent="0.25">
      <c r="H119" s="5"/>
    </row>
    <row r="120" spans="8:8" ht="25.5" customHeight="1" x14ac:dyDescent="0.25">
      <c r="H120" s="5"/>
    </row>
    <row r="121" spans="8:8" ht="25.5" customHeight="1" x14ac:dyDescent="0.25">
      <c r="H121" s="5"/>
    </row>
    <row r="122" spans="8:8" ht="25.5" customHeight="1" x14ac:dyDescent="0.25">
      <c r="H122" s="5"/>
    </row>
    <row r="123" spans="8:8" ht="25.5" customHeight="1" x14ac:dyDescent="0.25">
      <c r="H123" s="5"/>
    </row>
    <row r="124" spans="8:8" ht="25.5" customHeight="1" x14ac:dyDescent="0.25">
      <c r="H124" s="5"/>
    </row>
    <row r="125" spans="8:8" ht="25.5" customHeight="1" x14ac:dyDescent="0.25">
      <c r="H125" s="5"/>
    </row>
    <row r="126" spans="8:8" ht="25.5" customHeight="1" x14ac:dyDescent="0.25">
      <c r="H126" s="5"/>
    </row>
    <row r="127" spans="8:8" ht="25.5" customHeight="1" x14ac:dyDescent="0.25">
      <c r="H127" s="5"/>
    </row>
    <row r="128" spans="8:8" ht="15" x14ac:dyDescent="0.25">
      <c r="H128" s="5"/>
    </row>
    <row r="129" spans="8:8" ht="15" x14ac:dyDescent="0.25">
      <c r="H129" s="5"/>
    </row>
    <row r="130" spans="8:8" ht="15" x14ac:dyDescent="0.25">
      <c r="H130" s="5"/>
    </row>
    <row r="131" spans="8:8" ht="15" x14ac:dyDescent="0.25">
      <c r="H131" s="5"/>
    </row>
    <row r="132" spans="8:8" ht="15" x14ac:dyDescent="0.25">
      <c r="H132" s="5"/>
    </row>
    <row r="133" spans="8:8" ht="15" x14ac:dyDescent="0.25">
      <c r="H133" s="5"/>
    </row>
    <row r="134" spans="8:8" ht="15" x14ac:dyDescent="0.25">
      <c r="H134" s="5"/>
    </row>
    <row r="135" spans="8:8" ht="15" x14ac:dyDescent="0.25">
      <c r="H135" s="5"/>
    </row>
    <row r="136" spans="8:8" ht="15" x14ac:dyDescent="0.25">
      <c r="H136" s="5"/>
    </row>
    <row r="137" spans="8:8" ht="15" x14ac:dyDescent="0.25">
      <c r="H137" s="5"/>
    </row>
    <row r="138" spans="8:8" ht="15" x14ac:dyDescent="0.25">
      <c r="H138" s="5"/>
    </row>
    <row r="139" spans="8:8" ht="15" x14ac:dyDescent="0.25">
      <c r="H139" s="5"/>
    </row>
    <row r="140" spans="8:8" ht="15" x14ac:dyDescent="0.25">
      <c r="H140" s="5"/>
    </row>
    <row r="141" spans="8:8" ht="15" x14ac:dyDescent="0.25">
      <c r="H141" s="5"/>
    </row>
    <row r="142" spans="8:8" ht="15" x14ac:dyDescent="0.25">
      <c r="H142" s="5"/>
    </row>
    <row r="143" spans="8:8" ht="15" x14ac:dyDescent="0.25">
      <c r="H143" s="5"/>
    </row>
    <row r="144" spans="8:8" ht="15" x14ac:dyDescent="0.25">
      <c r="H144" s="5"/>
    </row>
    <row r="145" spans="8:8" ht="15" x14ac:dyDescent="0.25">
      <c r="H145" s="5"/>
    </row>
    <row r="146" spans="8:8" ht="15" x14ac:dyDescent="0.25">
      <c r="H146" s="5"/>
    </row>
    <row r="147" spans="8:8" ht="15" x14ac:dyDescent="0.25">
      <c r="H147" s="5"/>
    </row>
    <row r="148" spans="8:8" ht="15" x14ac:dyDescent="0.25">
      <c r="H148" s="5"/>
    </row>
    <row r="149" spans="8:8" ht="15" x14ac:dyDescent="0.25">
      <c r="H149" s="5"/>
    </row>
    <row r="150" spans="8:8" ht="15" x14ac:dyDescent="0.25">
      <c r="H150" s="5"/>
    </row>
    <row r="151" spans="8:8" ht="15" x14ac:dyDescent="0.25">
      <c r="H151" s="5"/>
    </row>
    <row r="152" spans="8:8" ht="15" x14ac:dyDescent="0.25">
      <c r="H152" s="5"/>
    </row>
    <row r="153" spans="8:8" ht="15" x14ac:dyDescent="0.25">
      <c r="H153" s="5"/>
    </row>
    <row r="154" spans="8:8" ht="15" x14ac:dyDescent="0.25">
      <c r="H154" s="5"/>
    </row>
    <row r="155" spans="8:8" ht="15" x14ac:dyDescent="0.25">
      <c r="H155" s="5"/>
    </row>
    <row r="156" spans="8:8" ht="15" x14ac:dyDescent="0.25">
      <c r="H156" s="5"/>
    </row>
    <row r="157" spans="8:8" ht="15" x14ac:dyDescent="0.25">
      <c r="H157" s="5"/>
    </row>
    <row r="158" spans="8:8" ht="15" x14ac:dyDescent="0.25">
      <c r="H158" s="5"/>
    </row>
    <row r="159" spans="8:8" ht="15" x14ac:dyDescent="0.25">
      <c r="H159" s="5"/>
    </row>
    <row r="160" spans="8:8" ht="15" x14ac:dyDescent="0.25">
      <c r="H160" s="5"/>
    </row>
    <row r="161" spans="8:8" ht="15" x14ac:dyDescent="0.25">
      <c r="H161" s="5"/>
    </row>
    <row r="162" spans="8:8" ht="15" x14ac:dyDescent="0.25">
      <c r="H162" s="5"/>
    </row>
    <row r="163" spans="8:8" ht="15" x14ac:dyDescent="0.25">
      <c r="H163" s="5"/>
    </row>
    <row r="164" spans="8:8" ht="15" x14ac:dyDescent="0.25">
      <c r="H164" s="5"/>
    </row>
    <row r="165" spans="8:8" ht="15" x14ac:dyDescent="0.25">
      <c r="H165" s="5"/>
    </row>
    <row r="166" spans="8:8" ht="15" x14ac:dyDescent="0.25">
      <c r="H166" s="5"/>
    </row>
    <row r="167" spans="8:8" ht="15" x14ac:dyDescent="0.25">
      <c r="H167" s="5"/>
    </row>
    <row r="168" spans="8:8" ht="15" x14ac:dyDescent="0.25">
      <c r="H168" s="5"/>
    </row>
    <row r="169" spans="8:8" ht="15" x14ac:dyDescent="0.25">
      <c r="H169" s="5"/>
    </row>
    <row r="170" spans="8:8" ht="15" x14ac:dyDescent="0.25">
      <c r="H170" s="5"/>
    </row>
    <row r="171" spans="8:8" ht="15" x14ac:dyDescent="0.25">
      <c r="H171" s="5"/>
    </row>
    <row r="172" spans="8:8" ht="15" x14ac:dyDescent="0.25">
      <c r="H172" s="5"/>
    </row>
    <row r="173" spans="8:8" ht="15" x14ac:dyDescent="0.25">
      <c r="H173" s="5"/>
    </row>
    <row r="174" spans="8:8" ht="15" x14ac:dyDescent="0.25">
      <c r="H174" s="5"/>
    </row>
    <row r="175" spans="8:8" ht="15" x14ac:dyDescent="0.25">
      <c r="H175" s="5"/>
    </row>
    <row r="176" spans="8:8" ht="15" x14ac:dyDescent="0.25">
      <c r="H176" s="5"/>
    </row>
    <row r="177" spans="8:8" ht="15" x14ac:dyDescent="0.25">
      <c r="H177" s="5"/>
    </row>
    <row r="178" spans="8:8" ht="15" x14ac:dyDescent="0.25">
      <c r="H178" s="5"/>
    </row>
    <row r="179" spans="8:8" ht="15" x14ac:dyDescent="0.25">
      <c r="H179" s="5"/>
    </row>
    <row r="180" spans="8:8" ht="15" x14ac:dyDescent="0.25">
      <c r="H180" s="5"/>
    </row>
    <row r="181" spans="8:8" ht="15" x14ac:dyDescent="0.25">
      <c r="H181" s="5"/>
    </row>
    <row r="182" spans="8:8" ht="15" x14ac:dyDescent="0.25">
      <c r="H182" s="5"/>
    </row>
    <row r="183" spans="8:8" ht="15" x14ac:dyDescent="0.25">
      <c r="H183" s="5"/>
    </row>
    <row r="184" spans="8:8" ht="15" x14ac:dyDescent="0.25">
      <c r="H184" s="5"/>
    </row>
    <row r="185" spans="8:8" ht="15" x14ac:dyDescent="0.25">
      <c r="H185" s="5"/>
    </row>
    <row r="186" spans="8:8" ht="15" x14ac:dyDescent="0.25">
      <c r="H186" s="5"/>
    </row>
    <row r="187" spans="8:8" ht="15" x14ac:dyDescent="0.25">
      <c r="H187" s="5"/>
    </row>
    <row r="188" spans="8:8" ht="15" x14ac:dyDescent="0.25">
      <c r="H188" s="5"/>
    </row>
    <row r="189" spans="8:8" ht="15" x14ac:dyDescent="0.25">
      <c r="H189" s="5"/>
    </row>
    <row r="190" spans="8:8" ht="15" x14ac:dyDescent="0.25">
      <c r="H190" s="5"/>
    </row>
    <row r="191" spans="8:8" ht="15" x14ac:dyDescent="0.25">
      <c r="H191" s="5"/>
    </row>
    <row r="192" spans="8:8" ht="15" x14ac:dyDescent="0.25">
      <c r="H192" s="5"/>
    </row>
    <row r="193" spans="8:8" ht="15" x14ac:dyDescent="0.25">
      <c r="H193" s="5"/>
    </row>
    <row r="194" spans="8:8" ht="15" x14ac:dyDescent="0.25">
      <c r="H194" s="5"/>
    </row>
    <row r="195" spans="8:8" ht="15" x14ac:dyDescent="0.25">
      <c r="H195" s="5"/>
    </row>
    <row r="196" spans="8:8" ht="15" x14ac:dyDescent="0.25">
      <c r="H196" s="5"/>
    </row>
    <row r="197" spans="8:8" ht="15" x14ac:dyDescent="0.25">
      <c r="H197" s="5"/>
    </row>
    <row r="198" spans="8:8" ht="15" x14ac:dyDescent="0.25">
      <c r="H198" s="5"/>
    </row>
    <row r="199" spans="8:8" ht="15" x14ac:dyDescent="0.25">
      <c r="H199" s="5"/>
    </row>
    <row r="200" spans="8:8" ht="15" x14ac:dyDescent="0.25">
      <c r="H200" s="5"/>
    </row>
    <row r="201" spans="8:8" ht="15" x14ac:dyDescent="0.25">
      <c r="H201" s="5"/>
    </row>
    <row r="202" spans="8:8" ht="15" x14ac:dyDescent="0.25">
      <c r="H202" s="5"/>
    </row>
    <row r="203" spans="8:8" ht="15" x14ac:dyDescent="0.25">
      <c r="H203" s="5"/>
    </row>
    <row r="204" spans="8:8" ht="15" x14ac:dyDescent="0.25">
      <c r="H204" s="5"/>
    </row>
    <row r="205" spans="8:8" ht="15" x14ac:dyDescent="0.25">
      <c r="H205" s="5"/>
    </row>
    <row r="206" spans="8:8" ht="15" x14ac:dyDescent="0.25">
      <c r="H206" s="5"/>
    </row>
    <row r="207" spans="8:8" ht="15" x14ac:dyDescent="0.25">
      <c r="H207" s="5"/>
    </row>
    <row r="208" spans="8:8" ht="15" x14ac:dyDescent="0.25">
      <c r="H208" s="5"/>
    </row>
    <row r="209" spans="8:8" ht="15" x14ac:dyDescent="0.25">
      <c r="H209" s="5"/>
    </row>
    <row r="210" spans="8:8" ht="15" x14ac:dyDescent="0.25">
      <c r="H210" s="5"/>
    </row>
    <row r="211" spans="8:8" ht="15" x14ac:dyDescent="0.25">
      <c r="H211" s="5"/>
    </row>
    <row r="212" spans="8:8" ht="15" x14ac:dyDescent="0.25">
      <c r="H212" s="5"/>
    </row>
    <row r="213" spans="8:8" ht="15" x14ac:dyDescent="0.25">
      <c r="H213" s="5"/>
    </row>
    <row r="214" spans="8:8" ht="15" x14ac:dyDescent="0.25">
      <c r="H214" s="5"/>
    </row>
    <row r="215" spans="8:8" ht="15" x14ac:dyDescent="0.25">
      <c r="H215" s="5"/>
    </row>
    <row r="216" spans="8:8" ht="15" x14ac:dyDescent="0.25">
      <c r="H216" s="5"/>
    </row>
    <row r="217" spans="8:8" ht="15" x14ac:dyDescent="0.25">
      <c r="H217" s="5"/>
    </row>
    <row r="218" spans="8:8" ht="15" x14ac:dyDescent="0.25">
      <c r="H218" s="5"/>
    </row>
    <row r="219" spans="8:8" ht="15" x14ac:dyDescent="0.25">
      <c r="H219" s="5"/>
    </row>
    <row r="220" spans="8:8" ht="15" x14ac:dyDescent="0.25">
      <c r="H220" s="5"/>
    </row>
    <row r="221" spans="8:8" ht="15" x14ac:dyDescent="0.25">
      <c r="H221" s="5"/>
    </row>
    <row r="222" spans="8:8" ht="15" x14ac:dyDescent="0.25">
      <c r="H222" s="5"/>
    </row>
    <row r="223" spans="8:8" ht="15" x14ac:dyDescent="0.25">
      <c r="H223" s="5"/>
    </row>
    <row r="224" spans="8:8" ht="15" x14ac:dyDescent="0.25">
      <c r="H224" s="5"/>
    </row>
    <row r="225" spans="8:8" ht="15" x14ac:dyDescent="0.25">
      <c r="H225" s="5"/>
    </row>
    <row r="226" spans="8:8" ht="15" x14ac:dyDescent="0.25">
      <c r="H226" s="5"/>
    </row>
    <row r="227" spans="8:8" ht="15" x14ac:dyDescent="0.25">
      <c r="H227" s="5"/>
    </row>
    <row r="228" spans="8:8" ht="15" x14ac:dyDescent="0.25">
      <c r="H228" s="5"/>
    </row>
    <row r="229" spans="8:8" ht="15" x14ac:dyDescent="0.25">
      <c r="H229" s="5"/>
    </row>
    <row r="230" spans="8:8" ht="15" x14ac:dyDescent="0.25">
      <c r="H230" s="5"/>
    </row>
    <row r="231" spans="8:8" ht="15" x14ac:dyDescent="0.25">
      <c r="H231" s="5"/>
    </row>
    <row r="232" spans="8:8" ht="15" x14ac:dyDescent="0.25">
      <c r="H232" s="5"/>
    </row>
    <row r="233" spans="8:8" ht="15" x14ac:dyDescent="0.25">
      <c r="H233" s="5"/>
    </row>
    <row r="234" spans="8:8" ht="15" x14ac:dyDescent="0.25">
      <c r="H234" s="5"/>
    </row>
    <row r="235" spans="8:8" ht="15" x14ac:dyDescent="0.25">
      <c r="H235" s="5"/>
    </row>
    <row r="236" spans="8:8" ht="15" x14ac:dyDescent="0.25">
      <c r="H236" s="5"/>
    </row>
    <row r="237" spans="8:8" ht="15" x14ac:dyDescent="0.25">
      <c r="H237" s="5"/>
    </row>
    <row r="238" spans="8:8" ht="15" x14ac:dyDescent="0.25">
      <c r="H238" s="5"/>
    </row>
    <row r="239" spans="8:8" ht="15" x14ac:dyDescent="0.25">
      <c r="H239" s="5"/>
    </row>
    <row r="240" spans="8:8" ht="15" x14ac:dyDescent="0.25">
      <c r="H240" s="5"/>
    </row>
    <row r="241" spans="8:8" ht="15" x14ac:dyDescent="0.25">
      <c r="H241" s="5"/>
    </row>
    <row r="242" spans="8:8" ht="15" x14ac:dyDescent="0.25">
      <c r="H242" s="5"/>
    </row>
    <row r="243" spans="8:8" ht="15" x14ac:dyDescent="0.25">
      <c r="H243" s="5"/>
    </row>
    <row r="244" spans="8:8" ht="15" x14ac:dyDescent="0.25">
      <c r="H244" s="5"/>
    </row>
    <row r="245" spans="8:8" ht="15" x14ac:dyDescent="0.25">
      <c r="H245" s="5"/>
    </row>
    <row r="246" spans="8:8" ht="15" x14ac:dyDescent="0.25">
      <c r="H246" s="5"/>
    </row>
    <row r="247" spans="8:8" ht="15" x14ac:dyDescent="0.25">
      <c r="H247" s="5"/>
    </row>
    <row r="248" spans="8:8" ht="15" x14ac:dyDescent="0.25">
      <c r="H248" s="5"/>
    </row>
    <row r="249" spans="8:8" ht="15" x14ac:dyDescent="0.25">
      <c r="H249" s="5"/>
    </row>
    <row r="250" spans="8:8" ht="15" x14ac:dyDescent="0.25">
      <c r="H250" s="5"/>
    </row>
    <row r="251" spans="8:8" ht="15" x14ac:dyDescent="0.25">
      <c r="H251" s="5"/>
    </row>
    <row r="252" spans="8:8" ht="15" x14ac:dyDescent="0.25">
      <c r="H252" s="5"/>
    </row>
    <row r="253" spans="8:8" ht="15" x14ac:dyDescent="0.25">
      <c r="H253" s="5"/>
    </row>
    <row r="254" spans="8:8" ht="15" x14ac:dyDescent="0.25">
      <c r="H254" s="5"/>
    </row>
    <row r="255" spans="8:8" ht="15" x14ac:dyDescent="0.25">
      <c r="H255" s="5"/>
    </row>
    <row r="256" spans="8:8" ht="15" x14ac:dyDescent="0.25">
      <c r="H256" s="5"/>
    </row>
    <row r="257" spans="8:8" ht="15" x14ac:dyDescent="0.25">
      <c r="H257" s="5"/>
    </row>
    <row r="258" spans="8:8" ht="15" x14ac:dyDescent="0.25">
      <c r="H258" s="5"/>
    </row>
    <row r="259" spans="8:8" ht="15" x14ac:dyDescent="0.25">
      <c r="H259" s="5"/>
    </row>
    <row r="260" spans="8:8" ht="15" x14ac:dyDescent="0.25">
      <c r="H260" s="5"/>
    </row>
    <row r="261" spans="8:8" ht="15" x14ac:dyDescent="0.25">
      <c r="H261" s="5"/>
    </row>
    <row r="262" spans="8:8" ht="15" x14ac:dyDescent="0.25">
      <c r="H262" s="5"/>
    </row>
    <row r="263" spans="8:8" ht="15" x14ac:dyDescent="0.25">
      <c r="H263" s="5"/>
    </row>
    <row r="264" spans="8:8" ht="15" x14ac:dyDescent="0.25">
      <c r="H264" s="5"/>
    </row>
    <row r="265" spans="8:8" ht="15" x14ac:dyDescent="0.25">
      <c r="H265" s="5"/>
    </row>
    <row r="266" spans="8:8" ht="15" x14ac:dyDescent="0.25">
      <c r="H266" s="5"/>
    </row>
    <row r="267" spans="8:8" ht="15" x14ac:dyDescent="0.25">
      <c r="H267" s="5"/>
    </row>
    <row r="268" spans="8:8" ht="15" x14ac:dyDescent="0.25">
      <c r="H268" s="5"/>
    </row>
    <row r="269" spans="8:8" ht="15" x14ac:dyDescent="0.25">
      <c r="H269" s="5"/>
    </row>
    <row r="270" spans="8:8" ht="15" x14ac:dyDescent="0.25">
      <c r="H270" s="5"/>
    </row>
    <row r="271" spans="8:8" ht="15" x14ac:dyDescent="0.25">
      <c r="H271" s="5"/>
    </row>
  </sheetData>
  <mergeCells count="84">
    <mergeCell ref="C63:G63"/>
    <mergeCell ref="C59:G59"/>
    <mergeCell ref="C45:G45"/>
    <mergeCell ref="C44:G44"/>
    <mergeCell ref="C46:G46"/>
    <mergeCell ref="C60:G60"/>
    <mergeCell ref="C61:G61"/>
    <mergeCell ref="C57:G57"/>
    <mergeCell ref="C58:G58"/>
    <mergeCell ref="C3:P3"/>
    <mergeCell ref="C6:P6"/>
    <mergeCell ref="C32:G32"/>
    <mergeCell ref="C43:G43"/>
    <mergeCell ref="C34:G34"/>
    <mergeCell ref="C35:G35"/>
    <mergeCell ref="C37:G37"/>
    <mergeCell ref="C39:G39"/>
    <mergeCell ref="C24:G24"/>
    <mergeCell ref="C25:G25"/>
    <mergeCell ref="C26:G26"/>
    <mergeCell ref="D13:G13"/>
    <mergeCell ref="D14:G14"/>
    <mergeCell ref="C5:P5"/>
    <mergeCell ref="D8:G8"/>
    <mergeCell ref="D11:G11"/>
    <mergeCell ref="D9:G9"/>
    <mergeCell ref="C27:G27"/>
    <mergeCell ref="C56:G56"/>
    <mergeCell ref="C55:G55"/>
    <mergeCell ref="C48:G48"/>
    <mergeCell ref="C49:G49"/>
    <mergeCell ref="C28:G28"/>
    <mergeCell ref="D10:G10"/>
    <mergeCell ref="C29:G29"/>
    <mergeCell ref="C22:G22"/>
    <mergeCell ref="C23:G23"/>
    <mergeCell ref="C21:G21"/>
    <mergeCell ref="D12:G12"/>
    <mergeCell ref="C30:G30"/>
    <mergeCell ref="C33:G33"/>
    <mergeCell ref="C31:G31"/>
    <mergeCell ref="I98:N98"/>
    <mergeCell ref="C64:G64"/>
    <mergeCell ref="C81:G81"/>
    <mergeCell ref="C82:G82"/>
    <mergeCell ref="C83:G83"/>
    <mergeCell ref="C68:G68"/>
    <mergeCell ref="C65:G65"/>
    <mergeCell ref="C86:G86"/>
    <mergeCell ref="C76:G76"/>
    <mergeCell ref="C79:G79"/>
    <mergeCell ref="C77:G77"/>
    <mergeCell ref="C85:G85"/>
    <mergeCell ref="C84:G84"/>
    <mergeCell ref="J91:O91"/>
    <mergeCell ref="C102:G102"/>
    <mergeCell ref="J69:O69"/>
    <mergeCell ref="C66:G66"/>
    <mergeCell ref="C75:G75"/>
    <mergeCell ref="C69:G69"/>
    <mergeCell ref="J102:O102"/>
    <mergeCell ref="J89:O89"/>
    <mergeCell ref="C96:G96"/>
    <mergeCell ref="C97:G97"/>
    <mergeCell ref="C98:G98"/>
    <mergeCell ref="C101:G101"/>
    <mergeCell ref="J90:O90"/>
    <mergeCell ref="C90:G90"/>
    <mergeCell ref="C89:G89"/>
    <mergeCell ref="C78:G78"/>
    <mergeCell ref="C80:G80"/>
    <mergeCell ref="AA55:AB55"/>
    <mergeCell ref="AA56:AB56"/>
    <mergeCell ref="AB3:AI3"/>
    <mergeCell ref="AC7:AG7"/>
    <mergeCell ref="AC8:AG8"/>
    <mergeCell ref="AC10:AG10"/>
    <mergeCell ref="AC11:AG11"/>
    <mergeCell ref="AC12:AG12"/>
    <mergeCell ref="AC21:AG21"/>
    <mergeCell ref="AC13:AG13"/>
    <mergeCell ref="AC19:AG19"/>
    <mergeCell ref="AC20:AG20"/>
    <mergeCell ref="AC24:AG24"/>
  </mergeCells>
  <conditionalFormatting sqref="J69:O69">
    <cfRule type="expression" dxfId="17" priority="16">
      <formula>$H$69&gt;$H$68</formula>
    </cfRule>
  </conditionalFormatting>
  <conditionalFormatting sqref="J90:O90">
    <cfRule type="expression" dxfId="16" priority="12">
      <formula>$H$89&gt;($H$90*$H$84)</formula>
    </cfRule>
  </conditionalFormatting>
  <conditionalFormatting sqref="J102:O102">
    <cfRule type="expression" dxfId="15" priority="10">
      <formula>$H$101&gt;$H$102</formula>
    </cfRule>
  </conditionalFormatting>
  <conditionalFormatting sqref="I39">
    <cfRule type="expression" dxfId="14" priority="7">
      <formula>$H$37="Multiple Span"</formula>
    </cfRule>
  </conditionalFormatting>
  <conditionalFormatting sqref="C39:G39">
    <cfRule type="expression" dxfId="13" priority="6">
      <formula>$H$37="Multiple Span"</formula>
    </cfRule>
  </conditionalFormatting>
  <conditionalFormatting sqref="H39">
    <cfRule type="expression" dxfId="12" priority="5">
      <formula>$H$37="Multiple Span"</formula>
    </cfRule>
  </conditionalFormatting>
  <conditionalFormatting sqref="C48:G48">
    <cfRule type="expression" dxfId="11" priority="2">
      <formula>$AE$67=0</formula>
    </cfRule>
  </conditionalFormatting>
  <conditionalFormatting sqref="C49:G49">
    <cfRule type="expression" dxfId="10" priority="1">
      <formula>$AE$67=0</formula>
    </cfRule>
  </conditionalFormatting>
  <dataValidations count="17">
    <dataValidation operator="greaterThan" allowBlank="1" showInputMessage="1" showErrorMessage="1" promptTitle="Select" sqref="H38" xr:uid="{00000000-0002-0000-0200-000000000000}"/>
    <dataValidation type="decimal" operator="greaterThanOrEqual" allowBlank="1" showInputMessage="1" showErrorMessage="1" error="Positive value only" sqref="H31 H39 H66 H61 H85:H87 H75:H79 H21:H28 H58" xr:uid="{00000000-0002-0000-0200-000001000000}">
      <formula1>0</formula1>
    </dataValidation>
    <dataValidation type="decimal" operator="greaterThan" allowBlank="1" showInputMessage="1" showErrorMessage="1" error="Positive value only" sqref="H57 H36 H30" xr:uid="{00000000-0002-0000-0200-000002000000}">
      <formula1>0</formula1>
    </dataValidation>
    <dataValidation operator="greaterThan" allowBlank="1" showInputMessage="1" showErrorMessage="1" error="_x000a_" sqref="H56" xr:uid="{00000000-0002-0000-0200-000003000000}"/>
    <dataValidation allowBlank="1" showInputMessage="1" showErrorMessage="1" errorTitle="Warning" error="Stress exceeds limits" sqref="H110:H125" xr:uid="{00000000-0002-0000-0200-000004000000}"/>
    <dataValidation operator="greaterThan" allowBlank="1" showInputMessage="1" showErrorMessage="1" sqref="H80 H55 H65 H32 H96:H98" xr:uid="{00000000-0002-0000-0200-000005000000}"/>
    <dataValidation operator="greaterThanOrEqual" allowBlank="1" showInputMessage="1" showErrorMessage="1" sqref="H67 H92:H95 H43 H63:H64 H70:H74 H35 H59:H60 H81:H84" xr:uid="{00000000-0002-0000-0200-000006000000}"/>
    <dataValidation type="list" operator="greaterThan" allowBlank="1" showInputMessage="1" showErrorMessage="1" promptTitle="Select" sqref="H37" xr:uid="{00000000-0002-0000-0200-000007000000}">
      <formula1>$AC$39:$AC$40</formula1>
    </dataValidation>
    <dataValidation type="list" allowBlank="1" showInputMessage="1" showErrorMessage="1" sqref="D11:G11" xr:uid="{00000000-0002-0000-0200-000008000000}">
      <formula1>$AC$43:$AC$50</formula1>
    </dataValidation>
    <dataValidation type="list" operator="greaterThanOrEqual" allowBlank="1" showInputMessage="1" showErrorMessage="1" sqref="H33" xr:uid="{00000000-0002-0000-0200-000009000000}">
      <formula1>$AC$68:$AC$72</formula1>
    </dataValidation>
    <dataValidation type="decimal" allowBlank="1" showInputMessage="1" showErrorMessage="1" errorTitle="Warning" error="Stress exceeds limits" sqref="H109" xr:uid="{00000000-0002-0000-0200-00000A000000}">
      <formula1>H58</formula1>
      <formula2>H63</formula2>
    </dataValidation>
    <dataValidation type="decimal" allowBlank="1" showInputMessage="1" showErrorMessage="1" errorTitle="Warning" error="Stress exceeds limits" sqref="H108" xr:uid="{00000000-0002-0000-0200-00000B000000}">
      <formula1>H58</formula1>
      <formula2>H63</formula2>
    </dataValidation>
    <dataValidation type="decimal" allowBlank="1" showInputMessage="1" showErrorMessage="1" errorTitle="Warning" error="Stress exceeds limits" sqref="H104" xr:uid="{00000000-0002-0000-0200-00000C000000}">
      <formula1>H60</formula1>
      <formula2>H61</formula2>
    </dataValidation>
    <dataValidation type="decimal" allowBlank="1" showInputMessage="1" showErrorMessage="1" errorTitle="Warning" error="Stress exceeds limits" sqref="H105" xr:uid="{00000000-0002-0000-0200-00000D000000}">
      <formula1>H61</formula1>
      <formula2>H58</formula2>
    </dataValidation>
    <dataValidation type="decimal" allowBlank="1" showInputMessage="1" showErrorMessage="1" errorTitle="Warning" error="Stress exceeds limits" sqref="H107" xr:uid="{00000000-0002-0000-0200-00000E000000}">
      <formula1>H58</formula1>
      <formula2>H63</formula2>
    </dataValidation>
    <dataValidation type="decimal" allowBlank="1" showInputMessage="1" showErrorMessage="1" error="Value between 0 and depth of cover over culvert &quot;h&quot;" sqref="H34" xr:uid="{00000000-0002-0000-0200-00000F000000}">
      <formula1>0</formula1>
      <formula2>H23</formula2>
    </dataValidation>
    <dataValidation type="decimal" allowBlank="1" showInputMessage="1" showErrorMessage="1" error="Value between 0 and 120 in." sqref="H29" xr:uid="{00000000-0002-0000-0200-000010000000}">
      <formula1>0</formula1>
      <formula2>120</formula2>
    </dataValidation>
  </dataValidations>
  <pageMargins left="0.7" right="0.7" top="0.75" bottom="0.75" header="0.3" footer="0.3"/>
  <pageSetup paperSize="9" scale="27" orientation="portrait" r:id="rId1"/>
  <drawing r:id="rId2"/>
  <legacyDrawing r:id="rId3"/>
  <controls>
    <mc:AlternateContent xmlns:mc="http://schemas.openxmlformats.org/markup-compatibility/2006">
      <mc:Choice Requires="x14">
        <control shapeId="3074" r:id="rId4" name="CommandButton2">
          <controlPr defaultSize="0" autoLine="0" r:id="rId5">
            <anchor moveWithCells="1">
              <from>
                <xdr:col>6</xdr:col>
                <xdr:colOff>361950</xdr:colOff>
                <xdr:row>15</xdr:row>
                <xdr:rowOff>0</xdr:rowOff>
              </from>
              <to>
                <xdr:col>6</xdr:col>
                <xdr:colOff>1304925</xdr:colOff>
                <xdr:row>17</xdr:row>
                <xdr:rowOff>19050</xdr:rowOff>
              </to>
            </anchor>
          </controlPr>
        </control>
      </mc:Choice>
      <mc:Fallback>
        <control shapeId="3074" r:id="rId4" name="CommandButton2"/>
      </mc:Fallback>
    </mc:AlternateContent>
    <mc:AlternateContent xmlns:mc="http://schemas.openxmlformats.org/markup-compatibility/2006">
      <mc:Choice Requires="x14">
        <control shapeId="3073" r:id="rId6" name="CommandButton1">
          <controlPr defaultSize="0" autoLine="0" r:id="rId7">
            <anchor moveWithCells="1">
              <from>
                <xdr:col>3</xdr:col>
                <xdr:colOff>600075</xdr:colOff>
                <xdr:row>14</xdr:row>
                <xdr:rowOff>180975</xdr:rowOff>
              </from>
              <to>
                <xdr:col>5</xdr:col>
                <xdr:colOff>323850</xdr:colOff>
                <xdr:row>17</xdr:row>
                <xdr:rowOff>9525</xdr:rowOff>
              </to>
            </anchor>
          </controlPr>
        </control>
      </mc:Choice>
      <mc:Fallback>
        <control shapeId="3073" r:id="rId6" name="Command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AX253"/>
  <sheetViews>
    <sheetView showGridLines="0" zoomScaleNormal="100" zoomScaleSheetLayoutView="70" workbookViewId="0">
      <selection activeCell="A22" sqref="A22"/>
    </sheetView>
  </sheetViews>
  <sheetFormatPr defaultRowHeight="14.25" x14ac:dyDescent="0.2"/>
  <cols>
    <col min="1" max="1" width="9.140625" style="4"/>
    <col min="2" max="2" width="3.7109375" style="4" customWidth="1"/>
    <col min="3" max="3" width="11.42578125" style="4" customWidth="1"/>
    <col min="4" max="6" width="9.140625" style="4"/>
    <col min="7" max="7" width="19.5703125" style="4" customWidth="1"/>
    <col min="8" max="8" width="17.5703125" style="4" bestFit="1" customWidth="1"/>
    <col min="9" max="9" width="8.28515625" style="78" bestFit="1" customWidth="1"/>
    <col min="10" max="16" width="9.140625" style="4"/>
    <col min="17" max="17" width="3.7109375" style="4" customWidth="1"/>
    <col min="18" max="18" width="9.140625" style="4"/>
    <col min="19" max="50" width="9.140625" style="4" hidden="1" customWidth="1"/>
    <col min="51" max="16384" width="9.140625" style="4"/>
  </cols>
  <sheetData>
    <row r="1" spans="2:48" ht="15" thickBot="1" x14ac:dyDescent="0.25"/>
    <row r="2" spans="2:48" ht="30" customHeight="1" thickBot="1" x14ac:dyDescent="0.3">
      <c r="B2" s="7"/>
      <c r="C2" s="8"/>
      <c r="D2" s="8"/>
      <c r="E2" s="8"/>
      <c r="F2" s="8"/>
      <c r="G2" s="8"/>
      <c r="H2" s="8"/>
      <c r="I2" s="79"/>
      <c r="J2" s="8"/>
      <c r="K2" s="8"/>
      <c r="L2" s="8"/>
      <c r="M2" s="8"/>
      <c r="N2" s="8"/>
      <c r="O2" s="8"/>
      <c r="P2" s="8"/>
      <c r="Q2" s="9"/>
      <c r="AA2"/>
      <c r="AB2"/>
      <c r="AC2"/>
      <c r="AD2"/>
      <c r="AE2"/>
      <c r="AF2"/>
      <c r="AG2"/>
      <c r="AH2" s="2"/>
      <c r="AI2"/>
      <c r="AJ2"/>
    </row>
    <row r="3" spans="2:48" ht="51.75" thickBot="1" x14ac:dyDescent="0.35">
      <c r="B3" s="10"/>
      <c r="C3" s="142" t="s">
        <v>0</v>
      </c>
      <c r="D3" s="143"/>
      <c r="E3" s="143"/>
      <c r="F3" s="143"/>
      <c r="G3" s="143"/>
      <c r="H3" s="143"/>
      <c r="I3" s="143"/>
      <c r="J3" s="143"/>
      <c r="K3" s="143"/>
      <c r="L3" s="143"/>
      <c r="M3" s="143"/>
      <c r="N3" s="143"/>
      <c r="O3" s="143"/>
      <c r="P3" s="144"/>
      <c r="Q3" s="11"/>
      <c r="AA3"/>
      <c r="AB3" s="127" t="s">
        <v>137</v>
      </c>
      <c r="AC3" s="128"/>
      <c r="AD3" s="128"/>
      <c r="AE3" s="128"/>
      <c r="AF3" s="128"/>
      <c r="AG3" s="128"/>
      <c r="AH3" s="128"/>
      <c r="AI3" s="129"/>
      <c r="AJ3"/>
      <c r="AM3" s="46" t="s">
        <v>30</v>
      </c>
      <c r="AN3" s="46" t="s">
        <v>31</v>
      </c>
      <c r="AO3" s="46" t="s">
        <v>118</v>
      </c>
      <c r="AP3" s="46" t="s">
        <v>115</v>
      </c>
      <c r="AQ3" s="46" t="s">
        <v>117</v>
      </c>
      <c r="AR3" s="46" t="s">
        <v>116</v>
      </c>
      <c r="AS3"/>
      <c r="AT3"/>
      <c r="AU3"/>
      <c r="AV3"/>
    </row>
    <row r="4" spans="2:48" ht="20.100000000000001" customHeight="1" thickBot="1" x14ac:dyDescent="0.3">
      <c r="B4" s="10"/>
      <c r="C4" s="12"/>
      <c r="D4" s="12"/>
      <c r="E4" s="12"/>
      <c r="F4" s="12"/>
      <c r="G4" s="12"/>
      <c r="H4" s="12"/>
      <c r="I4" s="76"/>
      <c r="J4" s="12"/>
      <c r="K4" s="12"/>
      <c r="L4" s="12"/>
      <c r="M4" s="12"/>
      <c r="N4" s="12"/>
      <c r="O4" s="12"/>
      <c r="P4" s="12"/>
      <c r="Q4" s="11"/>
      <c r="AA4"/>
      <c r="AB4" s="24"/>
      <c r="AC4" s="25"/>
      <c r="AD4" s="25"/>
      <c r="AE4" s="25"/>
      <c r="AF4" s="25"/>
      <c r="AG4" s="25"/>
      <c r="AH4" s="26"/>
      <c r="AI4" s="27"/>
      <c r="AJ4"/>
      <c r="AM4" s="47" t="s">
        <v>32</v>
      </c>
      <c r="AN4" s="47">
        <v>1.1000000000000001</v>
      </c>
      <c r="AO4" s="48">
        <v>4.125</v>
      </c>
      <c r="AP4" s="48">
        <v>8.625</v>
      </c>
      <c r="AQ4" s="48">
        <v>3.5</v>
      </c>
      <c r="AR4" s="48">
        <v>25.625</v>
      </c>
      <c r="AS4"/>
      <c r="AT4" s="47">
        <v>17</v>
      </c>
      <c r="AU4" s="47">
        <v>13</v>
      </c>
      <c r="AV4"/>
    </row>
    <row r="5" spans="2:48" ht="20.25" thickBot="1" x14ac:dyDescent="0.35">
      <c r="B5" s="10"/>
      <c r="C5" s="227" t="s">
        <v>135</v>
      </c>
      <c r="D5" s="228"/>
      <c r="E5" s="228"/>
      <c r="F5" s="228"/>
      <c r="G5" s="228"/>
      <c r="H5" s="228"/>
      <c r="I5" s="228"/>
      <c r="J5" s="228"/>
      <c r="K5" s="228"/>
      <c r="L5" s="228"/>
      <c r="M5" s="228"/>
      <c r="N5" s="228"/>
      <c r="O5" s="228"/>
      <c r="P5" s="229"/>
      <c r="Q5" s="11"/>
      <c r="AA5"/>
      <c r="AB5" s="31"/>
      <c r="AC5" s="34" t="s">
        <v>3</v>
      </c>
      <c r="AD5" s="28"/>
      <c r="AE5" s="28"/>
      <c r="AF5" s="28"/>
      <c r="AG5" s="28"/>
      <c r="AH5" s="29"/>
      <c r="AI5" s="30"/>
      <c r="AJ5"/>
      <c r="AM5" s="47" t="s">
        <v>33</v>
      </c>
      <c r="AN5" s="47">
        <v>1.6</v>
      </c>
      <c r="AO5" s="48">
        <v>4.875</v>
      </c>
      <c r="AP5" s="48">
        <v>10.75</v>
      </c>
      <c r="AQ5" s="48">
        <v>4.125</v>
      </c>
      <c r="AR5" s="48">
        <v>33.125</v>
      </c>
      <c r="AS5"/>
      <c r="AT5" s="47">
        <v>21</v>
      </c>
      <c r="AU5" s="47">
        <v>15</v>
      </c>
      <c r="AV5"/>
    </row>
    <row r="6" spans="2:48" ht="20.25" thickBot="1" x14ac:dyDescent="0.35">
      <c r="B6" s="10"/>
      <c r="C6" s="224" t="s">
        <v>104</v>
      </c>
      <c r="D6" s="225"/>
      <c r="E6" s="225"/>
      <c r="F6" s="225"/>
      <c r="G6" s="225"/>
      <c r="H6" s="225"/>
      <c r="I6" s="225"/>
      <c r="J6" s="225"/>
      <c r="K6" s="225"/>
      <c r="L6" s="225"/>
      <c r="M6" s="225"/>
      <c r="N6" s="225"/>
      <c r="O6" s="225"/>
      <c r="P6" s="226"/>
      <c r="Q6" s="11"/>
      <c r="AA6"/>
      <c r="AB6" s="31"/>
      <c r="AC6" s="28"/>
      <c r="AD6" s="28"/>
      <c r="AE6" s="28"/>
      <c r="AF6" s="28"/>
      <c r="AG6" s="28"/>
      <c r="AH6" s="29"/>
      <c r="AI6" s="30"/>
      <c r="AJ6"/>
      <c r="AM6" s="47" t="s">
        <v>34</v>
      </c>
      <c r="AN6" s="47">
        <v>1.7</v>
      </c>
      <c r="AO6" s="48">
        <v>5.125</v>
      </c>
      <c r="AP6" s="48">
        <v>10.25</v>
      </c>
      <c r="AQ6" s="47">
        <v>5</v>
      </c>
      <c r="AR6" s="48">
        <v>27.5</v>
      </c>
      <c r="AS6"/>
      <c r="AT6" s="47">
        <v>20</v>
      </c>
      <c r="AU6" s="47">
        <v>16</v>
      </c>
      <c r="AV6"/>
    </row>
    <row r="7" spans="2:48" ht="15.75" thickBot="1" x14ac:dyDescent="0.3">
      <c r="B7" s="10"/>
      <c r="C7" s="12"/>
      <c r="D7" s="12"/>
      <c r="E7" s="12"/>
      <c r="F7" s="12"/>
      <c r="G7" s="12"/>
      <c r="H7" s="12"/>
      <c r="I7" s="76"/>
      <c r="J7" s="12"/>
      <c r="K7" s="12"/>
      <c r="L7" s="12"/>
      <c r="M7" s="12"/>
      <c r="N7" s="12"/>
      <c r="O7" s="12"/>
      <c r="P7" s="12"/>
      <c r="Q7" s="11"/>
      <c r="AA7"/>
      <c r="AB7" s="31"/>
      <c r="AC7" s="192" t="s">
        <v>4</v>
      </c>
      <c r="AD7" s="192"/>
      <c r="AE7" s="192"/>
      <c r="AF7" s="192"/>
      <c r="AG7" s="193"/>
      <c r="AH7" s="37">
        <f>MAX((1+0.33*((96-'Arch Pipe - Polym.'!H30)/96)),1)</f>
        <v>1.2475000000000001</v>
      </c>
      <c r="AI7" s="30"/>
      <c r="AJ7"/>
      <c r="AM7" s="47" t="s">
        <v>35</v>
      </c>
      <c r="AN7" s="47">
        <v>2.2999999999999998</v>
      </c>
      <c r="AO7" s="48">
        <v>5.875</v>
      </c>
      <c r="AP7" s="48">
        <v>11.625</v>
      </c>
      <c r="AQ7" s="48">
        <v>5.375</v>
      </c>
      <c r="AR7" s="48">
        <v>34.25</v>
      </c>
      <c r="AS7"/>
      <c r="AT7" s="47">
        <v>23</v>
      </c>
      <c r="AU7" s="47">
        <v>19</v>
      </c>
      <c r="AV7"/>
    </row>
    <row r="8" spans="2:48" ht="15.75" thickBot="1" x14ac:dyDescent="0.3">
      <c r="B8" s="10"/>
      <c r="C8" s="74" t="s">
        <v>65</v>
      </c>
      <c r="D8" s="207"/>
      <c r="E8" s="173"/>
      <c r="F8" s="173"/>
      <c r="G8" s="174"/>
      <c r="H8" s="12"/>
      <c r="I8" s="76"/>
      <c r="J8" s="12"/>
      <c r="K8" s="12"/>
      <c r="L8" s="12"/>
      <c r="M8" s="12"/>
      <c r="N8" s="12"/>
      <c r="O8" s="12"/>
      <c r="P8" s="12"/>
      <c r="Q8" s="11"/>
      <c r="AA8"/>
      <c r="AB8" s="31"/>
      <c r="AC8" s="194" t="s">
        <v>6</v>
      </c>
      <c r="AD8" s="192"/>
      <c r="AE8" s="192"/>
      <c r="AF8" s="192"/>
      <c r="AG8" s="193"/>
      <c r="AH8" s="37">
        <f>AH70</f>
        <v>37.599999999999994</v>
      </c>
      <c r="AI8" s="30"/>
      <c r="AJ8"/>
      <c r="AM8" s="47" t="s">
        <v>36</v>
      </c>
      <c r="AN8" s="47">
        <v>2.2000000000000002</v>
      </c>
      <c r="AO8" s="48">
        <v>5.625</v>
      </c>
      <c r="AP8" s="48">
        <v>11.875</v>
      </c>
      <c r="AQ8" s="48">
        <v>4.875</v>
      </c>
      <c r="AR8" s="48">
        <v>34.625</v>
      </c>
      <c r="AS8"/>
      <c r="AT8" s="47">
        <v>24</v>
      </c>
      <c r="AU8" s="47">
        <v>18</v>
      </c>
      <c r="AV8"/>
    </row>
    <row r="9" spans="2:48" ht="15.75" thickBot="1" x14ac:dyDescent="0.3">
      <c r="B9" s="10"/>
      <c r="C9" s="74" t="s">
        <v>138</v>
      </c>
      <c r="D9" s="207"/>
      <c r="E9" s="173"/>
      <c r="F9" s="173"/>
      <c r="G9" s="174"/>
      <c r="H9" s="12"/>
      <c r="I9" s="76"/>
      <c r="J9" s="12"/>
      <c r="K9" s="12"/>
      <c r="L9" s="12"/>
      <c r="M9" s="12"/>
      <c r="N9" s="12"/>
      <c r="O9" s="12"/>
      <c r="P9" s="12"/>
      <c r="Q9" s="11"/>
      <c r="AA9"/>
      <c r="AB9" s="31"/>
      <c r="AC9" s="109"/>
      <c r="AD9" s="107"/>
      <c r="AE9" s="107"/>
      <c r="AF9" s="107"/>
      <c r="AG9" s="108"/>
      <c r="AH9" s="37"/>
      <c r="AI9" s="30"/>
      <c r="AJ9"/>
      <c r="AM9" s="47" t="s">
        <v>37</v>
      </c>
      <c r="AN9" s="47">
        <v>3</v>
      </c>
      <c r="AO9" s="48">
        <v>6.75</v>
      </c>
      <c r="AP9" s="48">
        <v>13.5</v>
      </c>
      <c r="AQ9" s="48">
        <v>5.75</v>
      </c>
      <c r="AR9" s="48">
        <v>40.875</v>
      </c>
      <c r="AS9"/>
      <c r="AT9" s="47">
        <v>27</v>
      </c>
      <c r="AU9" s="47">
        <v>21</v>
      </c>
      <c r="AV9"/>
    </row>
    <row r="10" spans="2:48" ht="17.25" thickBot="1" x14ac:dyDescent="0.4">
      <c r="B10" s="10"/>
      <c r="C10" s="74" t="s">
        <v>1</v>
      </c>
      <c r="D10" s="207"/>
      <c r="E10" s="173"/>
      <c r="F10" s="173"/>
      <c r="G10" s="174"/>
      <c r="H10" s="12"/>
      <c r="I10" s="76"/>
      <c r="J10" s="12"/>
      <c r="K10" s="12"/>
      <c r="L10" s="12"/>
      <c r="M10" s="12"/>
      <c r="N10" s="12"/>
      <c r="O10" s="12"/>
      <c r="P10" s="12"/>
      <c r="Q10" s="11"/>
      <c r="AA10"/>
      <c r="AB10" s="31"/>
      <c r="AC10" s="194" t="s">
        <v>8</v>
      </c>
      <c r="AD10" s="192"/>
      <c r="AE10" s="192"/>
      <c r="AF10" s="192"/>
      <c r="AG10" s="193"/>
      <c r="AH10" s="37">
        <f>('Arch Pipe - Polym.'!H34-'Arch Pipe - Polym.'!H33-0.06*'Arch Pipe - Polym.'!H36)/'Arch Pipe - Polym.'!H31</f>
        <v>41.513043478260876</v>
      </c>
      <c r="AI10" s="30"/>
      <c r="AJ10"/>
      <c r="AM10" s="47" t="s">
        <v>38</v>
      </c>
      <c r="AN10" s="47">
        <v>2.9</v>
      </c>
      <c r="AO10" s="48">
        <v>6.5</v>
      </c>
      <c r="AP10" s="47">
        <v>14</v>
      </c>
      <c r="AQ10" s="48">
        <v>5.5</v>
      </c>
      <c r="AR10" s="48">
        <v>42.25</v>
      </c>
      <c r="AS10"/>
      <c r="AT10" s="47">
        <v>28</v>
      </c>
      <c r="AU10" s="47">
        <v>20</v>
      </c>
      <c r="AV10"/>
    </row>
    <row r="11" spans="2:48" ht="15" customHeight="1" thickBot="1" x14ac:dyDescent="0.3">
      <c r="B11" s="10"/>
      <c r="C11" s="74" t="s">
        <v>93</v>
      </c>
      <c r="D11" s="207" t="s">
        <v>94</v>
      </c>
      <c r="E11" s="173"/>
      <c r="F11" s="173"/>
      <c r="G11" s="174"/>
      <c r="H11" s="12"/>
      <c r="I11" s="76"/>
      <c r="J11" s="12"/>
      <c r="K11" s="12"/>
      <c r="L11" s="12"/>
      <c r="M11" s="12"/>
      <c r="N11" s="12"/>
      <c r="O11" s="12"/>
      <c r="P11" s="12"/>
      <c r="Q11" s="11"/>
      <c r="AA11"/>
      <c r="AB11" s="31"/>
      <c r="AC11" s="194" t="s">
        <v>7</v>
      </c>
      <c r="AD11" s="192"/>
      <c r="AE11" s="192"/>
      <c r="AF11" s="192"/>
      <c r="AG11" s="193"/>
      <c r="AH11" s="37">
        <f>IF('Arch Pipe - Polym.'!H30&lt;'Arch Pipe - Polym.'!AH10,'Arch Pipe - Polym.'!H33+'Arch Pipe - Polym.'!H31*'Arch Pipe - Polym.'!H30+0.06*'Arch Pipe - Polym.'!H36,(('Arch Pipe - Polym.'!H33+'Arch Pipe - Polym.'!H34+'Arch Pipe - Polym.'!H31*'Arch Pipe - Polym.'!H30)+0.06*'Arch Pipe - Polym.'!H36))</f>
        <v>51.859999999999992</v>
      </c>
      <c r="AI11" s="30"/>
      <c r="AJ11"/>
      <c r="AM11" s="47" t="s">
        <v>39</v>
      </c>
      <c r="AN11" s="47">
        <v>4.7</v>
      </c>
      <c r="AO11" s="48">
        <v>8.75</v>
      </c>
      <c r="AP11" s="48">
        <v>16.625</v>
      </c>
      <c r="AQ11" s="48">
        <v>7.125</v>
      </c>
      <c r="AR11" s="48">
        <v>51.375</v>
      </c>
      <c r="AS11"/>
      <c r="AT11" s="47">
        <v>33</v>
      </c>
      <c r="AU11" s="47">
        <v>26</v>
      </c>
      <c r="AV11"/>
    </row>
    <row r="12" spans="2:48" ht="15" customHeight="1" thickBot="1" x14ac:dyDescent="0.3">
      <c r="B12" s="10"/>
      <c r="C12" s="74" t="s">
        <v>95</v>
      </c>
      <c r="D12" s="207"/>
      <c r="E12" s="173"/>
      <c r="F12" s="173"/>
      <c r="G12" s="174"/>
      <c r="H12" s="12"/>
      <c r="I12" s="76"/>
      <c r="J12" s="12"/>
      <c r="K12" s="12"/>
      <c r="L12" s="12"/>
      <c r="M12" s="12"/>
      <c r="N12" s="12"/>
      <c r="O12" s="12"/>
      <c r="P12" s="12"/>
      <c r="Q12" s="11"/>
      <c r="AA12" s="84">
        <f>IF('Arch Pipe - Polym.'!H30/12&lt;'Arch Pipe - Polym.'!H39,'Arch Pipe - Polym.'!H30/12,'Arch Pipe - Polym.'!H39)</f>
        <v>2</v>
      </c>
      <c r="AB12" s="31"/>
      <c r="AC12" s="134" t="s">
        <v>12</v>
      </c>
      <c r="AD12" s="135"/>
      <c r="AE12" s="135"/>
      <c r="AF12" s="135"/>
      <c r="AG12" s="136"/>
      <c r="AH12" s="37">
        <f>'Arch Pipe - Polym.'!H50*('Arch Pipe - Polym.'!H37*AA12-2*'Arch Pipe - Polym.'!H38)/144</f>
        <v>0.52827823085194259</v>
      </c>
      <c r="AI12" s="30"/>
      <c r="AJ12"/>
      <c r="AM12" s="47" t="s">
        <v>40</v>
      </c>
      <c r="AN12" s="47">
        <v>4.5</v>
      </c>
      <c r="AO12" s="48">
        <v>8.125</v>
      </c>
      <c r="AP12" s="48">
        <v>17.875</v>
      </c>
      <c r="AQ12" s="48">
        <v>6.875</v>
      </c>
      <c r="AR12" s="48">
        <v>55.125</v>
      </c>
      <c r="AS12"/>
      <c r="AT12" s="47">
        <v>35</v>
      </c>
      <c r="AU12" s="47">
        <v>24</v>
      </c>
      <c r="AV12"/>
    </row>
    <row r="13" spans="2:48" ht="15" customHeight="1" thickBot="1" x14ac:dyDescent="0.3">
      <c r="B13" s="10"/>
      <c r="C13" s="74" t="s">
        <v>96</v>
      </c>
      <c r="D13" s="207"/>
      <c r="E13" s="173"/>
      <c r="F13" s="173"/>
      <c r="G13" s="174"/>
      <c r="H13" s="12"/>
      <c r="I13" s="76"/>
      <c r="J13" s="12"/>
      <c r="K13" s="12"/>
      <c r="L13" s="12"/>
      <c r="M13" s="12"/>
      <c r="N13" s="12"/>
      <c r="O13" s="12"/>
      <c r="P13" s="12"/>
      <c r="Q13" s="11"/>
      <c r="AA13"/>
      <c r="AB13" s="31"/>
      <c r="AC13" s="134" t="s">
        <v>13</v>
      </c>
      <c r="AD13" s="135"/>
      <c r="AE13" s="135"/>
      <c r="AF13" s="135"/>
      <c r="AG13" s="136"/>
      <c r="AH13" s="37">
        <f>(('Arch Pipe - Polym.'!H50*AA12-'Arch Pipe - Polym.'!H41)*'Arch Pipe - Polym.'!H37+'Arch Pipe - Polym.'!H41*('Arch Pipe - Polym.'!H37-62.4))/144</f>
        <v>0.52827823085194259</v>
      </c>
      <c r="AI13" s="30"/>
      <c r="AJ13"/>
      <c r="AM13" s="47" t="s">
        <v>41</v>
      </c>
      <c r="AN13" s="47">
        <v>6.7</v>
      </c>
      <c r="AO13" s="48">
        <v>10.375</v>
      </c>
      <c r="AP13" s="48">
        <v>20.25</v>
      </c>
      <c r="AQ13" s="48">
        <v>8.375</v>
      </c>
      <c r="AR13" s="48">
        <v>62.5</v>
      </c>
      <c r="AS13"/>
      <c r="AT13" s="47">
        <v>40</v>
      </c>
      <c r="AU13" s="47">
        <v>31</v>
      </c>
      <c r="AV13"/>
    </row>
    <row r="14" spans="2:48" ht="18.75" thickBot="1" x14ac:dyDescent="0.4">
      <c r="B14" s="10"/>
      <c r="C14" s="74" t="s">
        <v>2</v>
      </c>
      <c r="D14" s="207"/>
      <c r="E14" s="173"/>
      <c r="F14" s="173"/>
      <c r="G14" s="174"/>
      <c r="H14" s="12"/>
      <c r="I14" s="76"/>
      <c r="J14" s="12"/>
      <c r="K14" s="12"/>
      <c r="L14" s="12"/>
      <c r="M14" s="12"/>
      <c r="N14" s="12"/>
      <c r="O14" s="12"/>
      <c r="P14" s="12"/>
      <c r="Q14" s="11"/>
      <c r="AA14"/>
      <c r="AB14" s="31"/>
      <c r="AC14" s="28" t="s">
        <v>14</v>
      </c>
      <c r="AD14" s="28"/>
      <c r="AE14" s="28"/>
      <c r="AF14" s="28"/>
      <c r="AG14" s="28"/>
      <c r="AH14" s="37">
        <f>0.433*('Arch Pipe - Polym.'!H41+'Arch Pipe - Polym.'!H42)</f>
        <v>1.6959166666666665</v>
      </c>
      <c r="AI14" s="30"/>
      <c r="AJ14"/>
      <c r="AM14" s="47" t="s">
        <v>42</v>
      </c>
      <c r="AN14" s="47">
        <v>6.5</v>
      </c>
      <c r="AO14" s="48">
        <v>9.75</v>
      </c>
      <c r="AP14" s="48">
        <v>21.5</v>
      </c>
      <c r="AQ14" s="48">
        <v>8.25</v>
      </c>
      <c r="AR14" s="48">
        <v>66.125</v>
      </c>
      <c r="AS14"/>
      <c r="AT14" s="47">
        <v>42</v>
      </c>
      <c r="AU14" s="47">
        <v>29</v>
      </c>
      <c r="AV14"/>
    </row>
    <row r="15" spans="2:48" ht="15.75" thickBot="1" x14ac:dyDescent="0.3">
      <c r="B15" s="10"/>
      <c r="C15" s="12"/>
      <c r="D15" s="12"/>
      <c r="E15" s="12"/>
      <c r="F15" s="12"/>
      <c r="G15" s="12"/>
      <c r="H15" s="12"/>
      <c r="I15" s="76"/>
      <c r="J15" s="12"/>
      <c r="K15" s="12"/>
      <c r="L15" s="12"/>
      <c r="M15" s="12"/>
      <c r="N15" s="12"/>
      <c r="O15" s="12"/>
      <c r="P15" s="12"/>
      <c r="Q15" s="11"/>
      <c r="AA15"/>
      <c r="AB15" s="31"/>
      <c r="AC15" s="28"/>
      <c r="AD15" s="28"/>
      <c r="AE15" s="28"/>
      <c r="AF15" s="28"/>
      <c r="AG15" s="28"/>
      <c r="AH15" s="29"/>
      <c r="AI15" s="30"/>
      <c r="AJ15"/>
      <c r="AM15" s="47" t="s">
        <v>43</v>
      </c>
      <c r="AN15" s="47">
        <v>9.1999999999999993</v>
      </c>
      <c r="AO15" s="48">
        <v>12.375</v>
      </c>
      <c r="AP15" s="48">
        <v>23.25</v>
      </c>
      <c r="AQ15" s="48">
        <v>9.75</v>
      </c>
      <c r="AR15" s="47">
        <v>73</v>
      </c>
      <c r="AS15"/>
      <c r="AT15" s="47">
        <v>46</v>
      </c>
      <c r="AU15" s="47">
        <v>36</v>
      </c>
      <c r="AV15"/>
    </row>
    <row r="16" spans="2:48" ht="15.75" thickBot="1" x14ac:dyDescent="0.3">
      <c r="B16" s="10"/>
      <c r="C16" s="103" t="s">
        <v>131</v>
      </c>
      <c r="D16" s="12"/>
      <c r="E16" s="12"/>
      <c r="F16" s="12"/>
      <c r="G16" s="12"/>
      <c r="H16" s="12"/>
      <c r="I16" s="76"/>
      <c r="J16" s="12"/>
      <c r="K16" s="12"/>
      <c r="L16" s="12"/>
      <c r="M16" s="12"/>
      <c r="N16" s="12"/>
      <c r="O16" s="12"/>
      <c r="P16" s="12"/>
      <c r="Q16" s="11"/>
      <c r="AA16"/>
      <c r="AB16" s="31"/>
      <c r="AC16" s="28"/>
      <c r="AD16" s="28"/>
      <c r="AE16" s="28"/>
      <c r="AF16" s="28"/>
      <c r="AG16" s="28"/>
      <c r="AH16" s="29"/>
      <c r="AI16" s="30"/>
      <c r="AJ16"/>
      <c r="AM16" s="47" t="s">
        <v>44</v>
      </c>
      <c r="AN16" s="47">
        <v>8.9</v>
      </c>
      <c r="AO16" s="48">
        <v>11.375</v>
      </c>
      <c r="AP16" s="48">
        <v>25.125</v>
      </c>
      <c r="AQ16" s="48">
        <v>9.625</v>
      </c>
      <c r="AR16" s="48">
        <v>77.25</v>
      </c>
      <c r="AS16"/>
      <c r="AT16" s="47">
        <v>49</v>
      </c>
      <c r="AU16" s="47">
        <v>33</v>
      </c>
      <c r="AV16"/>
    </row>
    <row r="17" spans="2:48" ht="15.75" thickBot="1" x14ac:dyDescent="0.3">
      <c r="B17" s="10"/>
      <c r="C17" s="1" t="s">
        <v>132</v>
      </c>
      <c r="D17" s="12"/>
      <c r="E17" s="12"/>
      <c r="F17" s="12"/>
      <c r="G17" s="12"/>
      <c r="H17" s="12"/>
      <c r="I17" s="76"/>
      <c r="J17" s="12"/>
      <c r="K17" s="12"/>
      <c r="L17" s="12"/>
      <c r="M17" s="12"/>
      <c r="N17" s="12"/>
      <c r="O17" s="12"/>
      <c r="P17" s="12"/>
      <c r="Q17" s="11"/>
      <c r="AA17"/>
      <c r="AB17" s="31"/>
      <c r="AC17" s="34" t="s">
        <v>18</v>
      </c>
      <c r="AD17" s="28"/>
      <c r="AE17" s="28"/>
      <c r="AF17" s="28"/>
      <c r="AG17" s="28"/>
      <c r="AH17" s="29"/>
      <c r="AI17" s="30"/>
      <c r="AJ17"/>
      <c r="AM17" s="47" t="s">
        <v>45</v>
      </c>
      <c r="AN17" s="47">
        <v>11.7</v>
      </c>
      <c r="AO17" s="48">
        <v>15.25</v>
      </c>
      <c r="AP17" s="49">
        <v>28.0625</v>
      </c>
      <c r="AQ17" s="49">
        <v>10.1875</v>
      </c>
      <c r="AR17" s="49">
        <v>73.4375</v>
      </c>
      <c r="AS17"/>
      <c r="AT17" s="47">
        <v>53</v>
      </c>
      <c r="AU17" s="47">
        <v>41</v>
      </c>
      <c r="AV17"/>
    </row>
    <row r="18" spans="2:48" ht="15.75" thickBot="1" x14ac:dyDescent="0.3">
      <c r="B18" s="10"/>
      <c r="C18" s="12"/>
      <c r="D18" s="12"/>
      <c r="E18" s="12"/>
      <c r="F18" s="12"/>
      <c r="G18" s="12"/>
      <c r="H18" s="12"/>
      <c r="I18" s="76"/>
      <c r="J18" s="12"/>
      <c r="K18" s="12"/>
      <c r="L18" s="12"/>
      <c r="M18" s="12"/>
      <c r="N18" s="12"/>
      <c r="O18" s="12"/>
      <c r="P18" s="12"/>
      <c r="Q18" s="11"/>
      <c r="AA18"/>
      <c r="AB18" s="31"/>
      <c r="AC18" s="28"/>
      <c r="AD18" s="28"/>
      <c r="AE18" s="28"/>
      <c r="AF18" s="28"/>
      <c r="AG18" s="28"/>
      <c r="AH18" s="29"/>
      <c r="AI18" s="30"/>
      <c r="AJ18"/>
      <c r="AM18" s="47" t="s">
        <v>46</v>
      </c>
      <c r="AN18" s="47">
        <v>11.6</v>
      </c>
      <c r="AO18" s="47">
        <v>13</v>
      </c>
      <c r="AP18" s="48">
        <v>28.625</v>
      </c>
      <c r="AQ18" s="47">
        <v>11</v>
      </c>
      <c r="AR18" s="48">
        <v>88.25</v>
      </c>
      <c r="AS18"/>
      <c r="AT18" s="47">
        <v>57</v>
      </c>
      <c r="AU18" s="47">
        <v>38</v>
      </c>
      <c r="AV18"/>
    </row>
    <row r="19" spans="2:48" ht="15.75" thickBot="1" x14ac:dyDescent="0.3">
      <c r="B19" s="10"/>
      <c r="C19" s="14" t="s">
        <v>3</v>
      </c>
      <c r="D19" s="12"/>
      <c r="E19" s="12"/>
      <c r="F19" s="12"/>
      <c r="G19" s="12"/>
      <c r="H19" s="12"/>
      <c r="I19" s="76"/>
      <c r="J19" s="12"/>
      <c r="K19" s="12"/>
      <c r="L19" s="12"/>
      <c r="M19" s="12"/>
      <c r="N19" s="12"/>
      <c r="O19" s="12"/>
      <c r="P19" s="12"/>
      <c r="Q19" s="11"/>
      <c r="AA19"/>
      <c r="AB19" s="31"/>
      <c r="AC19" s="134" t="s">
        <v>19</v>
      </c>
      <c r="AD19" s="135"/>
      <c r="AE19" s="135"/>
      <c r="AF19" s="135"/>
      <c r="AG19" s="136"/>
      <c r="AH19" s="37">
        <f>IF('Arch Pipe - Polym.'!H41=0,'Arch Pipe - Polym.'!AH12,'Arch Pipe - Polym.'!AH13)</f>
        <v>0.52827823085194259</v>
      </c>
      <c r="AI19" s="30"/>
      <c r="AJ19"/>
      <c r="AM19" s="47" t="s">
        <v>47</v>
      </c>
      <c r="AN19" s="47">
        <v>15.6</v>
      </c>
      <c r="AO19" s="48">
        <v>20.5</v>
      </c>
      <c r="AP19" s="48">
        <v>29.375</v>
      </c>
      <c r="AQ19" s="48">
        <v>18.75</v>
      </c>
      <c r="AR19" s="48">
        <v>51.125</v>
      </c>
      <c r="AS19"/>
      <c r="AT19" s="47">
        <v>60</v>
      </c>
      <c r="AU19" s="47">
        <v>46</v>
      </c>
      <c r="AV19"/>
    </row>
    <row r="20" spans="2:48" ht="15.75" thickBot="1" x14ac:dyDescent="0.3">
      <c r="B20" s="10"/>
      <c r="C20" s="12"/>
      <c r="D20" s="12"/>
      <c r="E20" s="12"/>
      <c r="F20" s="12"/>
      <c r="G20" s="12"/>
      <c r="H20" s="12"/>
      <c r="I20" s="76"/>
      <c r="J20" s="12"/>
      <c r="K20" s="12"/>
      <c r="L20" s="12"/>
      <c r="M20" s="12"/>
      <c r="N20" s="12"/>
      <c r="O20" s="12"/>
      <c r="P20" s="12"/>
      <c r="Q20" s="11"/>
      <c r="AA20"/>
      <c r="AB20" s="31"/>
      <c r="AC20" s="137" t="s">
        <v>20</v>
      </c>
      <c r="AD20" s="137"/>
      <c r="AE20" s="137"/>
      <c r="AF20" s="137"/>
      <c r="AG20" s="138"/>
      <c r="AH20" s="37">
        <f>MIN(AH8/'Arch Pipe - Polym.'!H25,1)</f>
        <v>0.52957746478873235</v>
      </c>
      <c r="AI20" s="30"/>
      <c r="AJ20"/>
      <c r="AM20" s="47" t="s">
        <v>48</v>
      </c>
      <c r="AN20" s="47">
        <v>14.7</v>
      </c>
      <c r="AO20" s="48">
        <v>14.625</v>
      </c>
      <c r="AP20" s="48">
        <v>32.25</v>
      </c>
      <c r="AQ20" s="48">
        <v>12.375</v>
      </c>
      <c r="AR20" s="48">
        <v>99.25</v>
      </c>
      <c r="AS20"/>
      <c r="AT20" s="47">
        <v>64</v>
      </c>
      <c r="AU20" s="47">
        <v>43</v>
      </c>
      <c r="AV20"/>
    </row>
    <row r="21" spans="2:48" ht="20.100000000000001" customHeight="1" thickBot="1" x14ac:dyDescent="0.3">
      <c r="B21" s="10"/>
      <c r="C21" s="148" t="s">
        <v>105</v>
      </c>
      <c r="D21" s="149"/>
      <c r="E21" s="149"/>
      <c r="F21" s="149"/>
      <c r="G21" s="150"/>
      <c r="H21" s="6" t="s">
        <v>50</v>
      </c>
      <c r="I21" s="102" t="s">
        <v>119</v>
      </c>
      <c r="J21" s="12"/>
      <c r="K21" s="12"/>
      <c r="L21" s="12"/>
      <c r="M21" s="12"/>
      <c r="N21" s="12"/>
      <c r="O21" s="12"/>
      <c r="P21" s="12"/>
      <c r="Q21" s="11"/>
      <c r="AA21"/>
      <c r="AB21" s="31"/>
      <c r="AC21" s="137" t="s">
        <v>14</v>
      </c>
      <c r="AD21" s="137"/>
      <c r="AE21" s="137"/>
      <c r="AF21" s="137"/>
      <c r="AG21" s="138"/>
      <c r="AH21" s="37">
        <f>IF('Arch Pipe - Polym.'!H41=0,0,'Arch Pipe - Polym.'!AH14)</f>
        <v>0</v>
      </c>
      <c r="AI21" s="30"/>
      <c r="AJ21"/>
      <c r="AM21" s="47" t="s">
        <v>49</v>
      </c>
      <c r="AN21" s="47">
        <v>19.3</v>
      </c>
      <c r="AO21" s="48">
        <v>22.75</v>
      </c>
      <c r="AP21" s="48">
        <v>32.625</v>
      </c>
      <c r="AQ21" s="48">
        <v>20.75</v>
      </c>
      <c r="AR21" s="48">
        <v>56.25</v>
      </c>
      <c r="AS21"/>
      <c r="AT21" s="47">
        <v>66</v>
      </c>
      <c r="AU21" s="47">
        <v>51</v>
      </c>
      <c r="AV21"/>
    </row>
    <row r="22" spans="2:48" ht="15.75" thickBot="1" x14ac:dyDescent="0.3">
      <c r="B22" s="10"/>
      <c r="C22" s="195"/>
      <c r="D22" s="195"/>
      <c r="E22" s="195"/>
      <c r="F22" s="195"/>
      <c r="G22" s="195"/>
      <c r="H22" s="94"/>
      <c r="I22" s="76"/>
      <c r="J22" s="12"/>
      <c r="K22" s="12"/>
      <c r="L22" s="12"/>
      <c r="M22" s="12"/>
      <c r="N22" s="12"/>
      <c r="O22" s="12"/>
      <c r="P22" s="12"/>
      <c r="Q22" s="11"/>
      <c r="AA22"/>
      <c r="AB22" s="31"/>
      <c r="AC22" s="57"/>
      <c r="AD22" s="57"/>
      <c r="AE22" s="57"/>
      <c r="AF22" s="57"/>
      <c r="AG22" s="57"/>
      <c r="AH22" s="2"/>
      <c r="AI22" s="30"/>
      <c r="AJ22"/>
      <c r="AM22" s="47" t="s">
        <v>50</v>
      </c>
      <c r="AN22" s="47">
        <v>18.100000000000001</v>
      </c>
      <c r="AO22" s="48">
        <v>16.25</v>
      </c>
      <c r="AP22" s="48">
        <v>35.75</v>
      </c>
      <c r="AQ22" s="48">
        <v>13.75</v>
      </c>
      <c r="AR22" s="48">
        <v>110.25</v>
      </c>
      <c r="AS22"/>
      <c r="AT22" s="47">
        <v>71</v>
      </c>
      <c r="AU22" s="47">
        <v>47</v>
      </c>
      <c r="AV22"/>
    </row>
    <row r="23" spans="2:48" ht="20.100000000000001" customHeight="1" thickBot="1" x14ac:dyDescent="0.3">
      <c r="B23" s="10"/>
      <c r="C23" s="148" t="s">
        <v>106</v>
      </c>
      <c r="D23" s="149"/>
      <c r="E23" s="149"/>
      <c r="F23" s="149"/>
      <c r="G23" s="150"/>
      <c r="H23" s="116">
        <f>VLOOKUP(H21,AM3:AR37,4,FALSE)</f>
        <v>35.75</v>
      </c>
      <c r="I23" s="102" t="s">
        <v>119</v>
      </c>
      <c r="J23" s="12"/>
      <c r="K23" s="12"/>
      <c r="L23" s="12"/>
      <c r="M23" s="12"/>
      <c r="N23" s="12"/>
      <c r="O23" s="12"/>
      <c r="P23" s="12"/>
      <c r="Q23" s="11"/>
      <c r="AA23"/>
      <c r="AB23" s="31"/>
      <c r="AC23" s="137" t="s">
        <v>130</v>
      </c>
      <c r="AD23" s="137"/>
      <c r="AE23" s="137"/>
      <c r="AF23" s="137"/>
      <c r="AG23" s="138"/>
      <c r="AH23" s="37">
        <f>0.433*'Arch Pipe - Polym.'!H41+('Arch Pipe - Polym.'!H23/'Arch Pipe - Polym.'!H24)*('Arch Pipe - Polym.'!H52+'Arch Pipe - Polym.'!AH20*'Arch Pipe - Polym.'!H51)</f>
        <v>2.2806497568068509</v>
      </c>
      <c r="AI23" s="30"/>
      <c r="AJ23"/>
      <c r="AM23" s="47" t="s">
        <v>51</v>
      </c>
      <c r="AN23" s="47">
        <v>23.2</v>
      </c>
      <c r="AO23" s="48">
        <v>25.125</v>
      </c>
      <c r="AP23" s="48">
        <v>36.75</v>
      </c>
      <c r="AQ23" s="48">
        <v>22.875</v>
      </c>
      <c r="AR23" s="48">
        <v>63.75</v>
      </c>
      <c r="AS23"/>
      <c r="AT23" s="47">
        <v>73</v>
      </c>
      <c r="AU23" s="47">
        <v>55</v>
      </c>
      <c r="AV23"/>
    </row>
    <row r="24" spans="2:48" ht="20.100000000000001" customHeight="1" thickBot="1" x14ac:dyDescent="0.3">
      <c r="B24" s="10"/>
      <c r="C24" s="148" t="s">
        <v>107</v>
      </c>
      <c r="D24" s="149"/>
      <c r="E24" s="149"/>
      <c r="F24" s="149"/>
      <c r="G24" s="150"/>
      <c r="H24" s="117">
        <f>VLOOKUP(H21,AM3:AR37,6,FALSE)</f>
        <v>110.25</v>
      </c>
      <c r="I24" s="102" t="s">
        <v>119</v>
      </c>
      <c r="J24" s="12"/>
      <c r="K24" s="12"/>
      <c r="L24" s="12"/>
      <c r="M24" s="12"/>
      <c r="N24" s="12"/>
      <c r="O24" s="12"/>
      <c r="P24" s="12"/>
      <c r="Q24" s="11"/>
      <c r="AA24"/>
      <c r="AB24" s="31"/>
      <c r="AC24" s="137" t="s">
        <v>74</v>
      </c>
      <c r="AD24" s="137"/>
      <c r="AE24" s="137"/>
      <c r="AF24" s="137"/>
      <c r="AG24" s="138"/>
      <c r="AH24" s="37">
        <f>(0.6*'Arch Pipe - Polym.'!H68*1000*('Arch Pipe - Polym.'!H61^2.2))/(('Arch Pipe - Polym.'!H65^0.4)*('Arch Pipe - Polym.'!H24^1.8))</f>
        <v>11.429640510190815</v>
      </c>
      <c r="AI24" s="30"/>
      <c r="AJ24"/>
      <c r="AM24" s="47" t="s">
        <v>52</v>
      </c>
      <c r="AN24" s="47">
        <v>21.9</v>
      </c>
      <c r="AO24" s="48">
        <v>17.875</v>
      </c>
      <c r="AP24" s="48">
        <v>39.375</v>
      </c>
      <c r="AQ24" s="48">
        <v>15.125</v>
      </c>
      <c r="AR24" s="48">
        <v>121.25</v>
      </c>
      <c r="AS24"/>
      <c r="AT24" s="47">
        <v>77</v>
      </c>
      <c r="AU24" s="47">
        <v>52</v>
      </c>
      <c r="AV24"/>
    </row>
    <row r="25" spans="2:48" ht="20.100000000000001" customHeight="1" thickBot="1" x14ac:dyDescent="0.3">
      <c r="B25" s="10"/>
      <c r="C25" s="148" t="s">
        <v>108</v>
      </c>
      <c r="D25" s="149"/>
      <c r="E25" s="149"/>
      <c r="F25" s="149"/>
      <c r="G25" s="150"/>
      <c r="H25" s="1">
        <f>VLOOKUP(H21,AM3:AV37,8,FALSE)</f>
        <v>71</v>
      </c>
      <c r="I25" s="102" t="s">
        <v>119</v>
      </c>
      <c r="J25" s="12"/>
      <c r="K25" s="12"/>
      <c r="L25" s="12"/>
      <c r="M25" s="12"/>
      <c r="N25" s="12"/>
      <c r="O25" s="12"/>
      <c r="P25" s="12"/>
      <c r="Q25" s="11"/>
      <c r="AA25"/>
      <c r="AB25" s="31"/>
      <c r="AC25" s="137" t="s">
        <v>75</v>
      </c>
      <c r="AD25" s="137"/>
      <c r="AE25" s="137"/>
      <c r="AF25" s="137"/>
      <c r="AG25" s="138"/>
      <c r="AH25" s="37">
        <f>(0.5*'Arch Pipe - Polym.'!H69*'Arch Pipe - Polym.'!H24*(((('Arch Pipe - Polym.'!H61^2)*'Arch Pipe - Polym.'!H65)/('Arch Pipe - Polym.'!H24^3))^0.4))/('Arch Pipe - Polym.'!H64^0.4)</f>
        <v>1.5871531176318807</v>
      </c>
      <c r="AI25" s="30"/>
      <c r="AJ25"/>
      <c r="AM25" s="47" t="s">
        <v>53</v>
      </c>
      <c r="AN25" s="47">
        <v>27.4</v>
      </c>
      <c r="AO25" s="48">
        <v>23.75</v>
      </c>
      <c r="AP25" s="48">
        <v>39.5</v>
      </c>
      <c r="AQ25" s="48">
        <v>20.875</v>
      </c>
      <c r="AR25" s="48">
        <v>82.625</v>
      </c>
      <c r="AS25"/>
      <c r="AT25" s="47">
        <v>81</v>
      </c>
      <c r="AU25" s="47">
        <v>59</v>
      </c>
      <c r="AV25"/>
    </row>
    <row r="26" spans="2:48" ht="20.100000000000001" customHeight="1" thickBot="1" x14ac:dyDescent="0.3">
      <c r="B26" s="10"/>
      <c r="C26" s="148" t="s">
        <v>109</v>
      </c>
      <c r="D26" s="149"/>
      <c r="E26" s="149"/>
      <c r="F26" s="149"/>
      <c r="G26" s="150"/>
      <c r="H26" s="1">
        <f>VLOOKUP(H21,AM3:AV37,9,FALSE)</f>
        <v>47</v>
      </c>
      <c r="I26" s="102" t="s">
        <v>119</v>
      </c>
      <c r="J26" s="12"/>
      <c r="K26" s="12"/>
      <c r="L26" s="12"/>
      <c r="M26" s="12"/>
      <c r="N26" s="12"/>
      <c r="O26" s="12"/>
      <c r="P26" s="12"/>
      <c r="Q26" s="11"/>
      <c r="AA26"/>
      <c r="AB26" s="31"/>
      <c r="AC26" s="137" t="s">
        <v>76</v>
      </c>
      <c r="AD26" s="137"/>
      <c r="AE26" s="137"/>
      <c r="AF26" s="137"/>
      <c r="AG26" s="138"/>
      <c r="AH26" s="37">
        <f>(0.1*'Arch Pipe - Polym.'!H70*'Arch Pipe - Polym.'!H68*1000*('Arch Pipe - Polym.'!H61^3))/'Arch Pipe - Polym.'!H24</f>
        <v>666.66666666666663</v>
      </c>
      <c r="AI26" s="30"/>
      <c r="AJ26"/>
      <c r="AM26" s="47" t="s">
        <v>54</v>
      </c>
      <c r="AN26" s="47">
        <v>26</v>
      </c>
      <c r="AO26" s="48">
        <v>19.5</v>
      </c>
      <c r="AP26" s="47">
        <v>43</v>
      </c>
      <c r="AQ26" s="48">
        <v>16.5</v>
      </c>
      <c r="AR26" s="48">
        <v>132.25</v>
      </c>
      <c r="AS26"/>
      <c r="AT26" s="47">
        <v>83</v>
      </c>
      <c r="AU26" s="47">
        <v>57</v>
      </c>
      <c r="AV26"/>
    </row>
    <row r="27" spans="2:48" ht="15.75" thickBot="1" x14ac:dyDescent="0.3">
      <c r="B27" s="10"/>
      <c r="C27" s="118"/>
      <c r="D27" s="118"/>
      <c r="E27" s="118"/>
      <c r="F27" s="118"/>
      <c r="G27" s="118"/>
      <c r="H27" s="94"/>
      <c r="I27" s="76"/>
      <c r="J27" s="12"/>
      <c r="K27" s="12"/>
      <c r="L27" s="12"/>
      <c r="M27" s="12"/>
      <c r="N27" s="12"/>
      <c r="O27" s="12"/>
      <c r="P27" s="12"/>
      <c r="Q27" s="11"/>
      <c r="AA27"/>
      <c r="AB27" s="31"/>
      <c r="AC27" s="137" t="s">
        <v>77</v>
      </c>
      <c r="AD27" s="137"/>
      <c r="AE27" s="137"/>
      <c r="AF27" s="137"/>
      <c r="AG27" s="138"/>
      <c r="AH27" s="37">
        <f>1.26*AH24*'Arch Pipe - Polym.'!H24</f>
        <v>1587.7485114731571</v>
      </c>
      <c r="AI27" s="30"/>
      <c r="AJ27"/>
      <c r="AM27" s="47" t="s">
        <v>55</v>
      </c>
      <c r="AN27" s="47">
        <v>32.1</v>
      </c>
      <c r="AO27" s="48">
        <v>25.75</v>
      </c>
      <c r="AP27" s="48">
        <v>43.375</v>
      </c>
      <c r="AQ27" s="48">
        <v>22.625</v>
      </c>
      <c r="AR27" s="48">
        <v>92.25</v>
      </c>
      <c r="AS27"/>
      <c r="AT27" s="47">
        <v>87</v>
      </c>
      <c r="AU27" s="47">
        <v>63</v>
      </c>
      <c r="AV27"/>
    </row>
    <row r="28" spans="2:48" ht="45" customHeight="1" thickBot="1" x14ac:dyDescent="0.3">
      <c r="B28" s="10"/>
      <c r="C28" s="162" t="s">
        <v>153</v>
      </c>
      <c r="D28" s="163"/>
      <c r="E28" s="163"/>
      <c r="F28" s="163"/>
      <c r="G28" s="164"/>
      <c r="H28" s="6">
        <v>1.2</v>
      </c>
      <c r="I28" s="76"/>
      <c r="J28" s="12"/>
      <c r="K28" s="12"/>
      <c r="L28" s="12"/>
      <c r="M28" s="12"/>
      <c r="N28" s="12"/>
      <c r="O28" s="12"/>
      <c r="P28" s="12"/>
      <c r="Q28" s="11"/>
      <c r="AA28"/>
      <c r="AB28" s="31"/>
      <c r="AC28" s="137" t="s">
        <v>79</v>
      </c>
      <c r="AD28" s="137"/>
      <c r="AE28" s="137"/>
      <c r="AF28" s="137"/>
      <c r="AG28" s="138"/>
      <c r="AH28" s="37">
        <f>(2.56*(('Arch Pipe - Polym.'!H67/'Arch Pipe - Polym.'!H80)^2))/(1+4.35*(('Arch Pipe - Polym.'!H67/'Arch Pipe - Polym.'!H80)^5))</f>
        <v>0.61887466048639905</v>
      </c>
      <c r="AI28" s="30"/>
      <c r="AJ28"/>
      <c r="AM28" s="47" t="s">
        <v>56</v>
      </c>
      <c r="AN28" s="47">
        <v>37</v>
      </c>
      <c r="AO28" s="48">
        <v>27.75</v>
      </c>
      <c r="AP28" s="47">
        <v>47</v>
      </c>
      <c r="AQ28" s="48">
        <v>24.375</v>
      </c>
      <c r="AR28" s="48">
        <v>100.25</v>
      </c>
      <c r="AS28"/>
      <c r="AT28" s="47">
        <v>95</v>
      </c>
      <c r="AU28" s="47">
        <v>67</v>
      </c>
      <c r="AV28"/>
    </row>
    <row r="29" spans="2:48" ht="110.1" customHeight="1" thickBot="1" x14ac:dyDescent="0.3">
      <c r="B29" s="10"/>
      <c r="C29" s="162" t="s">
        <v>213</v>
      </c>
      <c r="D29" s="163"/>
      <c r="E29" s="163"/>
      <c r="F29" s="163"/>
      <c r="G29" s="164"/>
      <c r="H29" s="6">
        <v>16000</v>
      </c>
      <c r="I29" s="102" t="s">
        <v>98</v>
      </c>
      <c r="J29" s="12"/>
      <c r="K29" s="12"/>
      <c r="L29" s="12"/>
      <c r="M29" s="12"/>
      <c r="N29" s="12"/>
      <c r="O29" s="12"/>
      <c r="P29" s="12"/>
      <c r="Q29" s="11"/>
      <c r="AA29"/>
      <c r="AB29" s="31"/>
      <c r="AC29" s="137" t="s">
        <v>78</v>
      </c>
      <c r="AD29" s="137"/>
      <c r="AE29" s="137"/>
      <c r="AF29" s="137"/>
      <c r="AG29" s="138"/>
      <c r="AH29" s="37">
        <f>(AH28*(AH23/AH24)*AH26)/((1-(((1-AH28))*((AH23/AH24)^2))))</f>
        <v>83.594607957028941</v>
      </c>
      <c r="AI29" s="30"/>
      <c r="AJ29"/>
      <c r="AM29" s="47" t="s">
        <v>57</v>
      </c>
      <c r="AN29" s="47">
        <v>42.4</v>
      </c>
      <c r="AO29" s="48">
        <v>29.75</v>
      </c>
      <c r="AP29" s="48">
        <v>51.25</v>
      </c>
      <c r="AQ29" s="48">
        <v>26.125</v>
      </c>
      <c r="AR29" s="48">
        <v>111.625</v>
      </c>
      <c r="AS29"/>
      <c r="AT29" s="47">
        <v>103</v>
      </c>
      <c r="AU29" s="47">
        <v>71</v>
      </c>
      <c r="AV29"/>
    </row>
    <row r="30" spans="2:48" ht="30" customHeight="1" thickBot="1" x14ac:dyDescent="0.3">
      <c r="B30" s="10"/>
      <c r="C30" s="162" t="s">
        <v>180</v>
      </c>
      <c r="D30" s="163"/>
      <c r="E30" s="163"/>
      <c r="F30" s="163"/>
      <c r="G30" s="164"/>
      <c r="H30" s="6">
        <v>24</v>
      </c>
      <c r="I30" s="102" t="s">
        <v>119</v>
      </c>
      <c r="J30" s="12"/>
      <c r="K30" s="12"/>
      <c r="L30" s="12"/>
      <c r="M30" s="12"/>
      <c r="N30" s="12"/>
      <c r="O30" s="12"/>
      <c r="P30" s="12"/>
      <c r="Q30" s="11"/>
      <c r="AA30"/>
      <c r="AB30" s="31"/>
      <c r="AC30" s="137" t="s">
        <v>80</v>
      </c>
      <c r="AD30" s="137"/>
      <c r="AE30" s="137"/>
      <c r="AF30" s="137"/>
      <c r="AG30" s="138"/>
      <c r="AH30" s="37">
        <f>(AH23/AH24)*AH27</f>
        <v>316.81646096682368</v>
      </c>
      <c r="AI30" s="30"/>
      <c r="AJ30"/>
      <c r="AM30" s="47" t="s">
        <v>58</v>
      </c>
      <c r="AN30" s="47">
        <v>48</v>
      </c>
      <c r="AO30" s="48">
        <v>31.625</v>
      </c>
      <c r="AP30" s="48">
        <v>54.875</v>
      </c>
      <c r="AQ30" s="48">
        <v>27.75</v>
      </c>
      <c r="AR30" s="48">
        <v>120.25</v>
      </c>
      <c r="AS30"/>
      <c r="AT30" s="47">
        <v>112</v>
      </c>
      <c r="AU30" s="47">
        <v>75</v>
      </c>
      <c r="AV30"/>
    </row>
    <row r="31" spans="2:48" ht="110.1" customHeight="1" thickBot="1" x14ac:dyDescent="0.3">
      <c r="B31" s="10"/>
      <c r="C31" s="162" t="s">
        <v>181</v>
      </c>
      <c r="D31" s="163"/>
      <c r="E31" s="163"/>
      <c r="F31" s="163"/>
      <c r="G31" s="164"/>
      <c r="H31" s="6">
        <v>1.1499999999999999</v>
      </c>
      <c r="I31" s="77"/>
      <c r="J31" s="12"/>
      <c r="K31" s="12"/>
      <c r="L31" s="12"/>
      <c r="M31" s="36" t="s">
        <v>10</v>
      </c>
      <c r="N31" s="12"/>
      <c r="O31" s="12"/>
      <c r="P31" s="12"/>
      <c r="Q31" s="11"/>
      <c r="AA31"/>
      <c r="AB31" s="31"/>
      <c r="AC31" s="137" t="s">
        <v>82</v>
      </c>
      <c r="AD31" s="137"/>
      <c r="AE31" s="137"/>
      <c r="AF31" s="137"/>
      <c r="AG31" s="138"/>
      <c r="AH31" s="37">
        <f>6*AH29/('Arch Pipe - Polym.'!H61^2)</f>
        <v>501.56764774217368</v>
      </c>
      <c r="AI31" s="30"/>
      <c r="AJ31"/>
      <c r="AM31" s="47" t="s">
        <v>59</v>
      </c>
      <c r="AN31" s="47">
        <v>54.2</v>
      </c>
      <c r="AO31" s="48">
        <v>33.625</v>
      </c>
      <c r="AP31" s="48">
        <v>59.375</v>
      </c>
      <c r="AQ31" s="48">
        <v>29.5</v>
      </c>
      <c r="AR31" s="48">
        <v>131.75</v>
      </c>
      <c r="AS31"/>
      <c r="AT31" s="47">
        <v>117</v>
      </c>
      <c r="AU31" s="47">
        <v>79</v>
      </c>
      <c r="AV31"/>
    </row>
    <row r="32" spans="2:48" ht="45" customHeight="1" thickBot="1" x14ac:dyDescent="0.3">
      <c r="B32" s="10"/>
      <c r="C32" s="162" t="s">
        <v>231</v>
      </c>
      <c r="D32" s="163"/>
      <c r="E32" s="163"/>
      <c r="F32" s="163"/>
      <c r="G32" s="164"/>
      <c r="H32" s="6">
        <v>10</v>
      </c>
      <c r="I32" s="102" t="s">
        <v>119</v>
      </c>
      <c r="J32" s="12"/>
      <c r="K32" s="12"/>
      <c r="L32" s="12"/>
      <c r="M32" s="12"/>
      <c r="N32" s="12"/>
      <c r="O32" s="12"/>
      <c r="P32" s="12"/>
      <c r="Q32" s="11"/>
      <c r="AA32"/>
      <c r="AB32" s="31"/>
      <c r="AC32" s="137" t="s">
        <v>83</v>
      </c>
      <c r="AD32" s="137"/>
      <c r="AE32" s="137"/>
      <c r="AF32" s="137"/>
      <c r="AG32" s="138"/>
      <c r="AH32" s="37">
        <f>AH30/'Arch Pipe - Polym.'!H61</f>
        <v>316.81646096682368</v>
      </c>
      <c r="AI32" s="30"/>
      <c r="AJ32"/>
      <c r="AM32" s="47" t="s">
        <v>60</v>
      </c>
      <c r="AN32" s="47">
        <v>60.5</v>
      </c>
      <c r="AO32" s="48">
        <v>35.625</v>
      </c>
      <c r="AP32" s="48">
        <v>63.25</v>
      </c>
      <c r="AQ32" s="48">
        <v>31.25</v>
      </c>
      <c r="AR32" s="48">
        <v>139.75</v>
      </c>
      <c r="AS32"/>
      <c r="AT32" s="47">
        <v>128</v>
      </c>
      <c r="AU32" s="47">
        <v>83</v>
      </c>
      <c r="AV32"/>
    </row>
    <row r="33" spans="2:48" ht="45" customHeight="1" thickBot="1" x14ac:dyDescent="0.3">
      <c r="B33" s="10"/>
      <c r="C33" s="162" t="s">
        <v>232</v>
      </c>
      <c r="D33" s="163"/>
      <c r="E33" s="163"/>
      <c r="F33" s="163"/>
      <c r="G33" s="164"/>
      <c r="H33" s="6">
        <v>20</v>
      </c>
      <c r="I33" s="102" t="s">
        <v>119</v>
      </c>
      <c r="J33" s="12"/>
      <c r="K33" s="12"/>
      <c r="L33" s="12"/>
      <c r="M33" s="12"/>
      <c r="N33" s="12"/>
      <c r="O33" s="12"/>
      <c r="P33" s="12"/>
      <c r="Q33" s="11"/>
      <c r="AA33"/>
      <c r="AB33" s="31"/>
      <c r="AC33" s="137" t="s">
        <v>81</v>
      </c>
      <c r="AD33" s="137"/>
      <c r="AE33" s="137"/>
      <c r="AF33" s="137"/>
      <c r="AG33" s="138"/>
      <c r="AH33" s="37">
        <f>AH31+AH32</f>
        <v>818.38410870899736</v>
      </c>
      <c r="AI33" s="30"/>
      <c r="AJ33"/>
      <c r="AM33" s="47" t="s">
        <v>61</v>
      </c>
      <c r="AN33" s="47">
        <v>67.400000000000006</v>
      </c>
      <c r="AO33" s="48">
        <v>37.625</v>
      </c>
      <c r="AP33" s="48">
        <v>67.375</v>
      </c>
      <c r="AQ33" s="47">
        <v>33</v>
      </c>
      <c r="AR33" s="48">
        <v>149.5</v>
      </c>
      <c r="AS33"/>
      <c r="AT33" s="47">
        <v>137</v>
      </c>
      <c r="AU33" s="47">
        <v>87</v>
      </c>
      <c r="AV33"/>
    </row>
    <row r="34" spans="2:48" ht="45" customHeight="1" thickBot="1" x14ac:dyDescent="0.3">
      <c r="B34" s="10"/>
      <c r="C34" s="162" t="s">
        <v>214</v>
      </c>
      <c r="D34" s="163"/>
      <c r="E34" s="163"/>
      <c r="F34" s="163"/>
      <c r="G34" s="164"/>
      <c r="H34" s="6">
        <v>72</v>
      </c>
      <c r="I34" s="102" t="s">
        <v>119</v>
      </c>
      <c r="J34" s="12"/>
      <c r="K34" s="12"/>
      <c r="L34" s="12"/>
      <c r="M34" s="12"/>
      <c r="N34" s="12"/>
      <c r="O34" s="12"/>
      <c r="P34" s="12"/>
      <c r="Q34" s="11"/>
      <c r="AA34"/>
      <c r="AB34" s="31"/>
      <c r="AC34" s="137" t="s">
        <v>84</v>
      </c>
      <c r="AD34" s="137"/>
      <c r="AE34" s="137"/>
      <c r="AF34" s="137"/>
      <c r="AG34" s="138"/>
      <c r="AH34" s="37">
        <f>AH25*(1-AJ34)</f>
        <v>0.1671505314009174</v>
      </c>
      <c r="AI34" s="30"/>
      <c r="AJ34">
        <f>(1-(AH23/AH24))^0.5</f>
        <v>0.89468531451438338</v>
      </c>
      <c r="AM34" s="47" t="s">
        <v>62</v>
      </c>
      <c r="AN34" s="47">
        <v>74.5</v>
      </c>
      <c r="AO34" s="48">
        <v>39.5</v>
      </c>
      <c r="AP34" s="48">
        <v>71.625</v>
      </c>
      <c r="AQ34" s="48">
        <v>34.75</v>
      </c>
      <c r="AR34" s="48">
        <v>162.375</v>
      </c>
      <c r="AS34"/>
      <c r="AT34" s="47">
        <v>142</v>
      </c>
      <c r="AU34" s="47">
        <v>91</v>
      </c>
      <c r="AV34"/>
    </row>
    <row r="35" spans="2:48" ht="45" customHeight="1" thickBot="1" x14ac:dyDescent="0.3">
      <c r="B35" s="10"/>
      <c r="C35" s="162" t="s">
        <v>243</v>
      </c>
      <c r="D35" s="163"/>
      <c r="E35" s="163"/>
      <c r="F35" s="163"/>
      <c r="G35" s="164"/>
      <c r="H35" s="6">
        <v>48</v>
      </c>
      <c r="I35" s="102" t="s">
        <v>119</v>
      </c>
      <c r="J35" s="12"/>
      <c r="K35" s="12"/>
      <c r="L35" s="12"/>
      <c r="M35" s="12"/>
      <c r="N35" s="12"/>
      <c r="O35" s="12"/>
      <c r="P35" s="12"/>
      <c r="Q35" s="11"/>
      <c r="AA35"/>
      <c r="AB35" s="31"/>
      <c r="AC35" s="119"/>
      <c r="AD35" s="119"/>
      <c r="AE35" s="119"/>
      <c r="AF35" s="119"/>
      <c r="AG35" s="119"/>
      <c r="AH35" s="70"/>
      <c r="AI35" s="30"/>
      <c r="AJ35"/>
      <c r="AM35" s="47"/>
      <c r="AN35" s="47"/>
      <c r="AO35" s="48"/>
      <c r="AP35" s="48"/>
      <c r="AQ35" s="48"/>
      <c r="AR35" s="48"/>
      <c r="AS35"/>
      <c r="AT35" s="47"/>
      <c r="AU35" s="47"/>
      <c r="AV35"/>
    </row>
    <row r="36" spans="2:48" ht="15.75" hidden="1" thickBot="1" x14ac:dyDescent="0.3">
      <c r="B36" s="10"/>
      <c r="C36" s="196" t="s">
        <v>29</v>
      </c>
      <c r="D36" s="197"/>
      <c r="E36" s="197"/>
      <c r="F36" s="197"/>
      <c r="G36" s="198"/>
      <c r="H36" s="51">
        <f>H25</f>
        <v>71</v>
      </c>
      <c r="I36" s="102"/>
      <c r="J36" s="12"/>
      <c r="K36" s="12"/>
      <c r="L36" s="12"/>
      <c r="M36" s="12"/>
      <c r="N36" s="12"/>
      <c r="O36" s="12"/>
      <c r="P36" s="12"/>
      <c r="Q36" s="11"/>
      <c r="AA36"/>
      <c r="AB36" s="31"/>
      <c r="AC36" s="69"/>
      <c r="AD36" s="69"/>
      <c r="AE36" s="69"/>
      <c r="AF36" s="69"/>
      <c r="AG36" s="69"/>
      <c r="AH36" s="70"/>
      <c r="AI36" s="30"/>
      <c r="AJ36"/>
      <c r="AM36" s="47"/>
      <c r="AN36" s="47"/>
      <c r="AO36" s="48"/>
      <c r="AP36" s="48"/>
      <c r="AQ36" s="48"/>
      <c r="AR36" s="48"/>
      <c r="AS36"/>
      <c r="AT36" s="47"/>
      <c r="AU36" s="47"/>
      <c r="AV36"/>
    </row>
    <row r="37" spans="2:48" ht="20.100000000000001" customHeight="1" thickBot="1" x14ac:dyDescent="0.3">
      <c r="B37" s="10"/>
      <c r="C37" s="159" t="s">
        <v>156</v>
      </c>
      <c r="D37" s="167"/>
      <c r="E37" s="167"/>
      <c r="F37" s="167"/>
      <c r="G37" s="168"/>
      <c r="H37" s="6">
        <v>120</v>
      </c>
      <c r="I37" s="102" t="s">
        <v>99</v>
      </c>
      <c r="J37" s="12"/>
      <c r="K37" s="12"/>
      <c r="L37" s="12"/>
      <c r="M37" s="12"/>
      <c r="N37" s="12"/>
      <c r="O37" s="12"/>
      <c r="P37" s="12"/>
      <c r="Q37" s="11"/>
      <c r="AA37"/>
      <c r="AB37" s="31"/>
      <c r="AC37" s="69"/>
      <c r="AD37" s="69"/>
      <c r="AE37" s="69"/>
      <c r="AF37" s="69"/>
      <c r="AG37" s="69"/>
      <c r="AH37" s="2"/>
      <c r="AI37" s="30"/>
      <c r="AJ37"/>
      <c r="AM37" s="47"/>
      <c r="AN37" s="47"/>
      <c r="AO37" s="48"/>
      <c r="AP37" s="48"/>
      <c r="AQ37" s="48"/>
      <c r="AR37" s="48"/>
      <c r="AS37"/>
      <c r="AT37" s="47"/>
      <c r="AU37" s="47"/>
      <c r="AV37"/>
    </row>
    <row r="38" spans="2:48" ht="110.1" customHeight="1" x14ac:dyDescent="0.25">
      <c r="B38" s="10"/>
      <c r="C38" s="162" t="s">
        <v>152</v>
      </c>
      <c r="D38" s="163"/>
      <c r="E38" s="163"/>
      <c r="F38" s="163"/>
      <c r="G38" s="164"/>
      <c r="H38" s="6">
        <v>0</v>
      </c>
      <c r="I38" s="102" t="s">
        <v>100</v>
      </c>
      <c r="J38" s="12"/>
      <c r="K38" s="12"/>
      <c r="L38" s="12"/>
      <c r="M38" s="66" t="s">
        <v>15</v>
      </c>
      <c r="N38" s="12"/>
      <c r="O38" s="12"/>
      <c r="P38" s="12"/>
      <c r="Q38" s="11"/>
      <c r="AA38"/>
      <c r="AB38" s="31"/>
      <c r="AC38" s="57"/>
      <c r="AD38" s="57"/>
      <c r="AE38" s="57"/>
      <c r="AF38" s="57"/>
      <c r="AG38" s="57"/>
      <c r="AH38" s="2"/>
      <c r="AI38" s="30"/>
      <c r="AJ38"/>
    </row>
    <row r="39" spans="2:48" ht="25.5" hidden="1" x14ac:dyDescent="0.25">
      <c r="B39" s="10"/>
      <c r="C39" s="199" t="s">
        <v>23</v>
      </c>
      <c r="D39" s="200"/>
      <c r="E39" s="200"/>
      <c r="F39" s="200"/>
      <c r="G39" s="201"/>
      <c r="H39" s="50">
        <f>H36/12</f>
        <v>5.916666666666667</v>
      </c>
      <c r="I39" s="76"/>
      <c r="J39" s="12"/>
      <c r="K39" s="12"/>
      <c r="L39" s="12"/>
      <c r="M39" s="13" t="s">
        <v>10</v>
      </c>
      <c r="N39" s="12"/>
      <c r="O39" s="12"/>
      <c r="P39" s="12"/>
      <c r="Q39" s="11"/>
      <c r="AA39"/>
      <c r="AB39" s="31"/>
      <c r="AC39" s="58" t="s">
        <v>28</v>
      </c>
      <c r="AD39" s="57"/>
      <c r="AE39" s="57"/>
      <c r="AF39" s="57"/>
      <c r="AG39" s="57"/>
      <c r="AH39" s="2"/>
      <c r="AI39" s="30"/>
      <c r="AJ39"/>
    </row>
    <row r="40" spans="2:48" ht="84.95" customHeight="1" x14ac:dyDescent="0.25">
      <c r="B40" s="10"/>
      <c r="C40" s="180" t="s">
        <v>191</v>
      </c>
      <c r="D40" s="181"/>
      <c r="E40" s="181"/>
      <c r="F40" s="181"/>
      <c r="G40" s="182"/>
      <c r="H40" s="45">
        <v>0.19239999999999999</v>
      </c>
      <c r="I40" s="76"/>
      <c r="J40" s="12"/>
      <c r="K40" s="12"/>
      <c r="L40" s="12"/>
      <c r="M40" s="36"/>
      <c r="N40" s="12"/>
      <c r="O40" s="12"/>
      <c r="P40" s="12"/>
      <c r="Q40" s="11"/>
      <c r="AA40"/>
      <c r="AB40" s="31"/>
      <c r="AC40" s="58" t="s">
        <v>26</v>
      </c>
      <c r="AD40" s="57"/>
      <c r="AE40" s="57"/>
      <c r="AF40" s="57"/>
      <c r="AG40" s="57"/>
      <c r="AH40" s="2"/>
      <c r="AI40" s="30"/>
      <c r="AJ40"/>
    </row>
    <row r="41" spans="2:48" ht="45" customHeight="1" thickBot="1" x14ac:dyDescent="0.3">
      <c r="B41" s="10"/>
      <c r="C41" s="180" t="s">
        <v>183</v>
      </c>
      <c r="D41" s="181"/>
      <c r="E41" s="181"/>
      <c r="F41" s="181"/>
      <c r="G41" s="182"/>
      <c r="H41" s="6">
        <v>0</v>
      </c>
      <c r="I41" s="102" t="s">
        <v>101</v>
      </c>
      <c r="J41" s="12"/>
      <c r="K41" s="12"/>
      <c r="L41" s="12"/>
      <c r="M41" s="68"/>
      <c r="N41" s="12"/>
      <c r="O41" s="12"/>
      <c r="P41" s="12"/>
      <c r="Q41" s="11"/>
      <c r="AA41"/>
      <c r="AB41" s="35"/>
      <c r="AC41" s="40"/>
      <c r="AD41" s="40"/>
      <c r="AE41" s="40"/>
      <c r="AF41" s="40"/>
      <c r="AG41" s="56"/>
      <c r="AH41" s="32"/>
      <c r="AI41" s="33"/>
      <c r="AJ41"/>
    </row>
    <row r="42" spans="2:48" ht="15.75" hidden="1" x14ac:dyDescent="0.25">
      <c r="B42" s="10"/>
      <c r="C42" s="202" t="s">
        <v>11</v>
      </c>
      <c r="D42" s="202"/>
      <c r="E42" s="202"/>
      <c r="F42" s="202"/>
      <c r="G42" s="203"/>
      <c r="H42" s="50">
        <f>H26/12</f>
        <v>3.9166666666666665</v>
      </c>
      <c r="I42" s="76"/>
      <c r="J42" s="12"/>
      <c r="K42" s="12"/>
      <c r="L42" s="12"/>
      <c r="M42" s="13"/>
      <c r="N42" s="12"/>
      <c r="O42" s="12"/>
      <c r="P42" s="12"/>
      <c r="Q42" s="11"/>
      <c r="AA42"/>
      <c r="AB42"/>
      <c r="AC42"/>
      <c r="AD42"/>
      <c r="AE42"/>
      <c r="AF42"/>
      <c r="AG42"/>
      <c r="AH42" s="2"/>
      <c r="AI42"/>
      <c r="AJ42"/>
    </row>
    <row r="43" spans="2:48" ht="15" x14ac:dyDescent="0.25">
      <c r="B43" s="10"/>
      <c r="C43" s="118"/>
      <c r="D43" s="118"/>
      <c r="E43" s="118"/>
      <c r="F43" s="118"/>
      <c r="G43" s="118"/>
      <c r="H43" s="96"/>
      <c r="I43" s="76"/>
      <c r="J43" s="12"/>
      <c r="K43" s="12"/>
      <c r="L43" s="12"/>
      <c r="M43" s="13"/>
      <c r="N43" s="12"/>
      <c r="O43" s="12"/>
      <c r="P43" s="12"/>
      <c r="Q43" s="11"/>
      <c r="AA43"/>
      <c r="AB43"/>
      <c r="AC43" t="s">
        <v>86</v>
      </c>
      <c r="AD43"/>
      <c r="AE43"/>
      <c r="AF43"/>
      <c r="AG43"/>
      <c r="AH43" s="2"/>
      <c r="AI43"/>
      <c r="AJ43"/>
    </row>
    <row r="44" spans="2:48" ht="30" customHeight="1" x14ac:dyDescent="0.25">
      <c r="B44" s="10"/>
      <c r="C44" s="154" t="s">
        <v>27</v>
      </c>
      <c r="D44" s="155"/>
      <c r="E44" s="155"/>
      <c r="F44" s="155"/>
      <c r="G44" s="156"/>
      <c r="H44" s="44" t="s">
        <v>28</v>
      </c>
      <c r="I44" s="76"/>
      <c r="J44" s="12"/>
      <c r="K44" s="12"/>
      <c r="L44" s="12"/>
      <c r="M44" s="13"/>
      <c r="N44" s="12"/>
      <c r="O44" s="12"/>
      <c r="P44" s="12"/>
      <c r="Q44" s="11"/>
      <c r="AA44"/>
      <c r="AB44"/>
      <c r="AC44" t="s">
        <v>92</v>
      </c>
      <c r="AD44"/>
      <c r="AE44"/>
      <c r="AF44"/>
      <c r="AG44"/>
      <c r="AH44" s="2"/>
      <c r="AI44"/>
      <c r="AJ44"/>
    </row>
    <row r="45" spans="2:48" ht="15" x14ac:dyDescent="0.25">
      <c r="B45" s="10"/>
      <c r="C45" s="53"/>
      <c r="D45" s="94"/>
      <c r="E45" s="94"/>
      <c r="F45" s="94"/>
      <c r="G45" s="94"/>
      <c r="H45" s="94"/>
      <c r="I45" s="76"/>
      <c r="J45" s="12"/>
      <c r="K45" s="12"/>
      <c r="L45" s="12"/>
      <c r="M45" s="13"/>
      <c r="N45" s="12"/>
      <c r="O45" s="12"/>
      <c r="P45" s="12"/>
      <c r="Q45" s="11"/>
      <c r="AA45"/>
      <c r="AB45"/>
      <c r="AC45" t="s">
        <v>87</v>
      </c>
      <c r="AD45"/>
      <c r="AE45"/>
      <c r="AF45"/>
      <c r="AG45"/>
      <c r="AH45" s="2"/>
      <c r="AI45"/>
      <c r="AJ45"/>
    </row>
    <row r="46" spans="2:48" ht="30" customHeight="1" x14ac:dyDescent="0.25">
      <c r="B46" s="10"/>
      <c r="C46" s="211" t="str">
        <f>IF(H44="Single Span","","Specify the distance between inside faces of end walls perpendicular to roadway")</f>
        <v/>
      </c>
      <c r="D46" s="211"/>
      <c r="E46" s="211"/>
      <c r="F46" s="211"/>
      <c r="G46" s="211"/>
      <c r="H46" s="114">
        <v>0</v>
      </c>
      <c r="I46" s="76" t="str">
        <f>IF(H44="Single Span","","ft")</f>
        <v/>
      </c>
      <c r="J46" s="12"/>
      <c r="K46" s="12"/>
      <c r="L46" s="12"/>
      <c r="M46" s="13"/>
      <c r="N46" s="12"/>
      <c r="O46" s="12"/>
      <c r="P46" s="12"/>
      <c r="Q46" s="11"/>
      <c r="AA46"/>
      <c r="AB46"/>
      <c r="AC46" t="s">
        <v>90</v>
      </c>
      <c r="AD46"/>
      <c r="AE46"/>
      <c r="AF46"/>
      <c r="AG46"/>
      <c r="AH46" s="2"/>
      <c r="AI46"/>
      <c r="AJ46"/>
    </row>
    <row r="47" spans="2:48" ht="15" x14ac:dyDescent="0.25">
      <c r="B47" s="10"/>
      <c r="C47" s="14"/>
      <c r="D47" s="12"/>
      <c r="E47" s="12"/>
      <c r="F47" s="12"/>
      <c r="G47" s="12"/>
      <c r="H47" s="12"/>
      <c r="I47" s="76"/>
      <c r="J47" s="12"/>
      <c r="K47" s="12"/>
      <c r="L47" s="12"/>
      <c r="M47" s="13"/>
      <c r="N47" s="12"/>
      <c r="O47" s="12"/>
      <c r="P47" s="12"/>
      <c r="Q47" s="11"/>
      <c r="AA47"/>
      <c r="AB47"/>
      <c r="AC47" t="s">
        <v>88</v>
      </c>
      <c r="AD47"/>
      <c r="AE47"/>
      <c r="AF47"/>
      <c r="AG47"/>
      <c r="AH47" s="2"/>
      <c r="AI47"/>
      <c r="AJ47"/>
    </row>
    <row r="48" spans="2:48" ht="15" x14ac:dyDescent="0.25">
      <c r="B48" s="10"/>
      <c r="C48" s="16" t="s">
        <v>5</v>
      </c>
      <c r="D48" s="12"/>
      <c r="E48" s="12"/>
      <c r="F48" s="12"/>
      <c r="G48" s="12"/>
      <c r="H48" s="12"/>
      <c r="I48" s="76"/>
      <c r="J48" s="12"/>
      <c r="K48" s="12"/>
      <c r="L48" s="12"/>
      <c r="M48" s="12"/>
      <c r="N48" s="12"/>
      <c r="O48" s="12"/>
      <c r="P48" s="12"/>
      <c r="Q48" s="11"/>
      <c r="AA48"/>
      <c r="AB48"/>
      <c r="AC48" t="s">
        <v>89</v>
      </c>
      <c r="AD48"/>
      <c r="AE48"/>
      <c r="AF48"/>
      <c r="AG48"/>
      <c r="AH48" s="2"/>
      <c r="AI48"/>
      <c r="AJ48"/>
    </row>
    <row r="49" spans="2:36" ht="15" x14ac:dyDescent="0.25">
      <c r="B49" s="10"/>
      <c r="C49" s="16"/>
      <c r="D49" s="12"/>
      <c r="E49" s="12"/>
      <c r="F49" s="12"/>
      <c r="G49" s="12"/>
      <c r="H49" s="12"/>
      <c r="I49" s="76"/>
      <c r="J49" s="12"/>
      <c r="K49" s="12"/>
      <c r="L49" s="12"/>
      <c r="M49" s="12"/>
      <c r="N49" s="12"/>
      <c r="O49" s="12"/>
      <c r="P49" s="12"/>
      <c r="Q49" s="11"/>
      <c r="AA49"/>
      <c r="AB49"/>
      <c r="AC49" t="s">
        <v>91</v>
      </c>
      <c r="AD49"/>
      <c r="AE49"/>
      <c r="AF49"/>
      <c r="AG49"/>
      <c r="AH49" s="2"/>
      <c r="AI49"/>
      <c r="AJ49"/>
    </row>
    <row r="50" spans="2:36" ht="30" customHeight="1" x14ac:dyDescent="0.25">
      <c r="B50" s="10"/>
      <c r="C50" s="169" t="s">
        <v>160</v>
      </c>
      <c r="D50" s="123"/>
      <c r="E50" s="123"/>
      <c r="F50" s="123"/>
      <c r="G50" s="124"/>
      <c r="H50" s="67">
        <f>(1-EXP('Arch Pipe - Polym.'!AC53))/(2*H40)</f>
        <v>0.31696693851116553</v>
      </c>
      <c r="I50" s="76"/>
      <c r="J50" s="12"/>
      <c r="K50" s="12"/>
      <c r="L50" s="12"/>
      <c r="M50" s="13"/>
      <c r="N50" s="12"/>
      <c r="O50" s="12"/>
      <c r="P50" s="12"/>
      <c r="Q50" s="11"/>
      <c r="AA50"/>
      <c r="AB50"/>
      <c r="AC50" t="s">
        <v>94</v>
      </c>
      <c r="AD50"/>
      <c r="AE50"/>
      <c r="AF50"/>
      <c r="AG50"/>
      <c r="AH50" s="2"/>
      <c r="AI50"/>
      <c r="AJ50"/>
    </row>
    <row r="51" spans="2:36" ht="20.100000000000001" customHeight="1" x14ac:dyDescent="0.25">
      <c r="B51" s="10"/>
      <c r="C51" s="159" t="s">
        <v>161</v>
      </c>
      <c r="D51" s="167"/>
      <c r="E51" s="167"/>
      <c r="F51" s="167"/>
      <c r="G51" s="168"/>
      <c r="H51" s="1">
        <f>IF(H44="Single Span",IF(H30&lt;=96,(H28*H29*'Arch Pipe - Polym.'!AH7)/('Arch Pipe - Polym.'!AH8*'Arch Pipe - Polym.'!AH11),0),IF(H30&lt;=(H46*12),(H28*H29*'Arch Pipe - Polym.'!AH7)/('Arch Pipe - Polym.'!AH8*'Arch Pipe - Polym.'!AH11),0))</f>
        <v>12.283480073192148</v>
      </c>
      <c r="I51" s="102" t="s">
        <v>103</v>
      </c>
      <c r="J51" s="12"/>
      <c r="K51" s="12"/>
      <c r="L51" s="12"/>
      <c r="M51" s="36" t="s">
        <v>22</v>
      </c>
      <c r="N51" s="12"/>
      <c r="O51" s="12"/>
      <c r="P51" s="12"/>
      <c r="Q51" s="11"/>
      <c r="AA51"/>
      <c r="AB51"/>
      <c r="AC51"/>
      <c r="AD51"/>
      <c r="AE51"/>
      <c r="AF51"/>
      <c r="AG51"/>
      <c r="AH51" s="2"/>
      <c r="AI51"/>
      <c r="AJ51"/>
    </row>
    <row r="52" spans="2:36" ht="35.1" customHeight="1" x14ac:dyDescent="0.25">
      <c r="B52" s="10"/>
      <c r="C52" s="154" t="s">
        <v>184</v>
      </c>
      <c r="D52" s="181"/>
      <c r="E52" s="181"/>
      <c r="F52" s="181"/>
      <c r="G52" s="182"/>
      <c r="H52" s="1">
        <f>'Arch Pipe - Polym.'!AH19</f>
        <v>0.52827823085194259</v>
      </c>
      <c r="I52" s="102" t="s">
        <v>103</v>
      </c>
      <c r="J52" s="12"/>
      <c r="K52" s="12"/>
      <c r="L52" s="12"/>
      <c r="M52" s="12"/>
      <c r="N52" s="12"/>
      <c r="O52" s="12"/>
      <c r="P52" s="12"/>
      <c r="Q52" s="11"/>
      <c r="AA52"/>
      <c r="AB52"/>
      <c r="AC52"/>
      <c r="AD52"/>
      <c r="AE52"/>
      <c r="AF52"/>
      <c r="AG52"/>
      <c r="AH52" s="2"/>
      <c r="AI52"/>
      <c r="AJ52"/>
    </row>
    <row r="53" spans="2:36" ht="20.100000000000001" customHeight="1" x14ac:dyDescent="0.25">
      <c r="B53" s="10"/>
      <c r="C53" s="159" t="s">
        <v>163</v>
      </c>
      <c r="D53" s="160"/>
      <c r="E53" s="160"/>
      <c r="F53" s="160"/>
      <c r="G53" s="161"/>
      <c r="H53" s="1">
        <f>'Arch Pipe - Polym.'!AH21</f>
        <v>0</v>
      </c>
      <c r="I53" s="102" t="s">
        <v>103</v>
      </c>
      <c r="J53" s="12"/>
      <c r="K53" s="12"/>
      <c r="L53" s="12"/>
      <c r="M53" s="12"/>
      <c r="N53" s="12"/>
      <c r="O53" s="12"/>
      <c r="P53" s="12"/>
      <c r="Q53" s="11"/>
      <c r="AA53" s="133" t="s">
        <v>123</v>
      </c>
      <c r="AB53" s="133"/>
      <c r="AC53" s="84">
        <f>-2*'Arch Pipe - Polym.'!H40*'Arch Pipe - Polym.'!H30/('Arch Pipe - Polym.'!H39*12)</f>
        <v>-0.13007323943661969</v>
      </c>
      <c r="AD53"/>
      <c r="AE53"/>
      <c r="AF53"/>
      <c r="AG53"/>
      <c r="AH53" s="2"/>
      <c r="AI53"/>
      <c r="AJ53"/>
    </row>
    <row r="54" spans="2:36" ht="15" x14ac:dyDescent="0.25">
      <c r="B54" s="10"/>
      <c r="C54" s="12"/>
      <c r="D54" s="12"/>
      <c r="E54" s="12"/>
      <c r="F54" s="12"/>
      <c r="G54" s="12"/>
      <c r="H54" s="12"/>
      <c r="I54" s="76"/>
      <c r="J54" s="12"/>
      <c r="K54" s="12"/>
      <c r="L54" s="12"/>
      <c r="M54" s="12"/>
      <c r="N54" s="12"/>
      <c r="O54" s="12"/>
      <c r="P54" s="12"/>
      <c r="Q54" s="11"/>
      <c r="AA54"/>
      <c r="AB54"/>
      <c r="AC54"/>
      <c r="AD54"/>
      <c r="AE54"/>
      <c r="AF54"/>
      <c r="AG54"/>
      <c r="AH54" s="2"/>
      <c r="AI54"/>
      <c r="AJ54"/>
    </row>
    <row r="55" spans="2:36" ht="15" customHeight="1" x14ac:dyDescent="0.25">
      <c r="B55" s="10"/>
      <c r="C55" s="212" t="str">
        <f>IF(H44="Single Span",IF(H30&lt;=96,"","Note: The effects of live load is neglected."),IF(H30&lt;=(H46*12),"","Note: The effects of live load is neglected."))</f>
        <v/>
      </c>
      <c r="D55" s="212"/>
      <c r="E55" s="212"/>
      <c r="F55" s="212"/>
      <c r="G55" s="212"/>
      <c r="H55" s="12"/>
      <c r="I55" s="76"/>
      <c r="J55" s="12"/>
      <c r="K55" s="12"/>
      <c r="L55" s="12"/>
      <c r="M55" s="12"/>
      <c r="N55" s="12"/>
      <c r="O55" s="12"/>
      <c r="P55" s="12"/>
      <c r="Q55" s="11"/>
      <c r="AA55"/>
      <c r="AB55"/>
      <c r="AC55"/>
      <c r="AD55"/>
      <c r="AE55"/>
      <c r="AF55"/>
      <c r="AG55"/>
      <c r="AH55" s="2"/>
      <c r="AI55"/>
      <c r="AJ55"/>
    </row>
    <row r="56" spans="2:36" ht="54.95" customHeight="1" x14ac:dyDescent="0.25">
      <c r="B56" s="10"/>
      <c r="C56" s="213" t="str">
        <f>IF(H44="Single Span",IF(H30&lt;=96,"","Per AASHTO LRFD Bridge Design Specifications, 8th Ed, Section 3.6.1.2.6a: For single-span culverts, the effects of live load may be neglected where the depth of fill is more than 8.0 ft. and exceeds the span length."),IF(H30&lt;=(H46*12),"","Per AASHTO LRFD Bridge Design Specifications, 8th Ed, Section 3.6.1.2.6a: For multiple span culverts, the effects of live load may be neglected where the depth of fill exceeds the distance between inside faces of end walls."))</f>
        <v/>
      </c>
      <c r="D56" s="213"/>
      <c r="E56" s="213"/>
      <c r="F56" s="213"/>
      <c r="G56" s="213"/>
      <c r="H56" s="12"/>
      <c r="I56" s="76"/>
      <c r="J56" s="12"/>
      <c r="K56" s="12"/>
      <c r="L56" s="12"/>
      <c r="M56" s="68" t="s">
        <v>85</v>
      </c>
      <c r="N56" s="12"/>
      <c r="O56" s="12"/>
      <c r="P56" s="12"/>
      <c r="Q56" s="11"/>
      <c r="AA56"/>
      <c r="AB56"/>
      <c r="AC56"/>
      <c r="AD56"/>
      <c r="AE56"/>
      <c r="AF56"/>
      <c r="AG56"/>
      <c r="AH56" s="2"/>
      <c r="AI56"/>
      <c r="AJ56"/>
    </row>
    <row r="57" spans="2:36" ht="15" x14ac:dyDescent="0.25">
      <c r="B57" s="10"/>
      <c r="C57" s="12"/>
      <c r="D57" s="12"/>
      <c r="E57" s="12"/>
      <c r="F57" s="12"/>
      <c r="G57" s="12"/>
      <c r="H57" s="12"/>
      <c r="I57" s="76"/>
      <c r="J57" s="12"/>
      <c r="K57" s="12"/>
      <c r="L57" s="12"/>
      <c r="M57" s="12"/>
      <c r="N57" s="12"/>
      <c r="O57" s="12"/>
      <c r="P57" s="12"/>
      <c r="Q57" s="11"/>
      <c r="AA57"/>
      <c r="AB57"/>
      <c r="AC57"/>
      <c r="AD57"/>
      <c r="AE57"/>
      <c r="AF57"/>
      <c r="AG57"/>
      <c r="AH57" s="2"/>
      <c r="AI57"/>
      <c r="AJ57"/>
    </row>
    <row r="58" spans="2:36" ht="15" x14ac:dyDescent="0.25">
      <c r="B58" s="10"/>
      <c r="C58" s="12"/>
      <c r="D58" s="12"/>
      <c r="E58" s="12"/>
      <c r="F58" s="12"/>
      <c r="G58" s="12"/>
      <c r="H58" s="12"/>
      <c r="I58" s="76"/>
      <c r="J58" s="12"/>
      <c r="K58" s="12"/>
      <c r="L58" s="12"/>
      <c r="M58" s="12"/>
      <c r="N58" s="12"/>
      <c r="O58" s="12"/>
      <c r="P58" s="12"/>
      <c r="Q58" s="11"/>
      <c r="AA58"/>
      <c r="AB58"/>
      <c r="AC58"/>
      <c r="AD58"/>
      <c r="AE58"/>
      <c r="AF58"/>
      <c r="AG58"/>
      <c r="AH58" s="2"/>
      <c r="AI58"/>
      <c r="AJ58"/>
    </row>
    <row r="59" spans="2:36" ht="15" customHeight="1" x14ac:dyDescent="0.25">
      <c r="B59" s="10"/>
      <c r="C59" s="14" t="s">
        <v>72</v>
      </c>
      <c r="D59" s="12"/>
      <c r="E59" s="12"/>
      <c r="F59" s="12"/>
      <c r="G59" s="12"/>
      <c r="H59" s="12"/>
      <c r="I59" s="76"/>
      <c r="J59" s="12"/>
      <c r="K59" s="12"/>
      <c r="L59" s="12"/>
      <c r="M59" s="13"/>
      <c r="N59" s="12"/>
      <c r="O59" s="12"/>
      <c r="P59" s="12"/>
      <c r="Q59" s="11"/>
      <c r="AA59"/>
      <c r="AB59" s="110"/>
      <c r="AC59" s="110" t="s">
        <v>140</v>
      </c>
      <c r="AD59"/>
      <c r="AE59">
        <f>IF(C55="Note: The effects of live load is neglected.",0,1)</f>
        <v>1</v>
      </c>
      <c r="AF59"/>
      <c r="AG59"/>
      <c r="AH59" s="2"/>
      <c r="AI59"/>
      <c r="AJ59"/>
    </row>
    <row r="60" spans="2:36" ht="15" x14ac:dyDescent="0.25">
      <c r="B60" s="10"/>
      <c r="C60" s="17"/>
      <c r="D60" s="12"/>
      <c r="E60" s="12"/>
      <c r="F60" s="12"/>
      <c r="G60" s="12"/>
      <c r="H60" s="12"/>
      <c r="I60" s="76"/>
      <c r="J60" s="12"/>
      <c r="K60" s="12"/>
      <c r="L60" s="12"/>
      <c r="M60" s="13"/>
      <c r="N60" s="12"/>
      <c r="O60" s="12"/>
      <c r="P60" s="12"/>
      <c r="Q60" s="11"/>
      <c r="AA60"/>
      <c r="AB60" s="110"/>
      <c r="AC60" s="110">
        <v>0.19239999999999999</v>
      </c>
      <c r="AD60"/>
      <c r="AE60"/>
      <c r="AF60"/>
      <c r="AG60"/>
      <c r="AH60" s="2"/>
      <c r="AI60"/>
      <c r="AJ60"/>
    </row>
    <row r="61" spans="2:36" ht="30" customHeight="1" x14ac:dyDescent="0.25">
      <c r="B61" s="10"/>
      <c r="C61" s="162" t="s">
        <v>238</v>
      </c>
      <c r="D61" s="163"/>
      <c r="E61" s="163"/>
      <c r="F61" s="163"/>
      <c r="G61" s="164"/>
      <c r="H61" s="6">
        <v>1</v>
      </c>
      <c r="I61" s="102" t="s">
        <v>119</v>
      </c>
      <c r="J61" s="12"/>
      <c r="K61" s="12"/>
      <c r="L61" s="12"/>
      <c r="M61" s="36"/>
      <c r="N61" s="12"/>
      <c r="O61" s="12"/>
      <c r="P61" s="12"/>
      <c r="Q61" s="11"/>
      <c r="AA61"/>
      <c r="AB61" s="110"/>
      <c r="AC61" s="110">
        <v>0.16500000000000001</v>
      </c>
      <c r="AD61"/>
      <c r="AE61"/>
      <c r="AF61"/>
      <c r="AG61"/>
      <c r="AH61" s="2"/>
      <c r="AI61"/>
      <c r="AJ61"/>
    </row>
    <row r="62" spans="2:36" ht="30" customHeight="1" x14ac:dyDescent="0.25">
      <c r="B62" s="10"/>
      <c r="C62" s="154" t="s">
        <v>195</v>
      </c>
      <c r="D62" s="155"/>
      <c r="E62" s="155"/>
      <c r="F62" s="155"/>
      <c r="G62" s="156"/>
      <c r="H62" s="45">
        <v>4.5600000000000002E-2</v>
      </c>
      <c r="I62" s="102" t="s">
        <v>102</v>
      </c>
      <c r="J62" s="12"/>
      <c r="K62" s="12"/>
      <c r="L62" s="12"/>
      <c r="M62" s="36"/>
      <c r="N62" s="12"/>
      <c r="O62" s="12"/>
      <c r="P62" s="12"/>
      <c r="Q62" s="11"/>
      <c r="AA62"/>
      <c r="AB62" s="110"/>
      <c r="AC62" s="110">
        <v>0.15</v>
      </c>
      <c r="AD62"/>
      <c r="AE62"/>
      <c r="AF62"/>
      <c r="AG62"/>
      <c r="AH62" s="2"/>
      <c r="AI62"/>
      <c r="AJ62"/>
    </row>
    <row r="63" spans="2:36" ht="35.1" customHeight="1" x14ac:dyDescent="0.25">
      <c r="B63" s="10"/>
      <c r="C63" s="154" t="s">
        <v>215</v>
      </c>
      <c r="D63" s="155"/>
      <c r="E63" s="155"/>
      <c r="F63" s="155"/>
      <c r="G63" s="156"/>
      <c r="H63" s="6">
        <v>1</v>
      </c>
      <c r="I63" s="76"/>
      <c r="J63" s="12"/>
      <c r="K63" s="12"/>
      <c r="L63" s="12"/>
      <c r="M63" s="36"/>
      <c r="N63" s="12"/>
      <c r="O63" s="12"/>
      <c r="P63" s="12"/>
      <c r="Q63" s="11"/>
      <c r="AA63"/>
      <c r="AB63" s="110"/>
      <c r="AC63" s="110">
        <v>0.13</v>
      </c>
      <c r="AD63"/>
      <c r="AE63"/>
      <c r="AF63"/>
      <c r="AG63"/>
      <c r="AH63" s="2"/>
      <c r="AI63"/>
      <c r="AJ63"/>
    </row>
    <row r="64" spans="2:36" ht="20.100000000000001" customHeight="1" x14ac:dyDescent="0.25">
      <c r="B64" s="10"/>
      <c r="C64" s="159" t="s">
        <v>217</v>
      </c>
      <c r="D64" s="160"/>
      <c r="E64" s="160"/>
      <c r="F64" s="160"/>
      <c r="G64" s="161"/>
      <c r="H64" s="6">
        <v>1</v>
      </c>
      <c r="I64" s="76"/>
      <c r="J64" s="12"/>
      <c r="K64" s="12"/>
      <c r="L64" s="12"/>
      <c r="M64" s="36"/>
      <c r="N64" s="12"/>
      <c r="O64" s="12"/>
      <c r="P64" s="12"/>
      <c r="Q64" s="11"/>
      <c r="AB64" s="110"/>
      <c r="AC64" s="110">
        <v>0.11</v>
      </c>
    </row>
    <row r="65" spans="2:34" ht="20.100000000000001" customHeight="1" x14ac:dyDescent="0.25">
      <c r="B65" s="10"/>
      <c r="C65" s="159" t="s">
        <v>216</v>
      </c>
      <c r="D65" s="160"/>
      <c r="E65" s="160"/>
      <c r="F65" s="160"/>
      <c r="G65" s="161"/>
      <c r="H65" s="6">
        <v>188.5</v>
      </c>
      <c r="I65" s="102" t="s">
        <v>119</v>
      </c>
      <c r="J65" s="12"/>
      <c r="K65" s="12"/>
      <c r="L65" s="12"/>
      <c r="M65" s="13"/>
      <c r="N65" s="12"/>
      <c r="O65" s="12"/>
      <c r="P65" s="12"/>
      <c r="Q65" s="11"/>
      <c r="AB65" s="110"/>
      <c r="AC65" s="110"/>
    </row>
    <row r="66" spans="2:34" ht="15" hidden="1" customHeight="1" x14ac:dyDescent="0.25">
      <c r="B66" s="10"/>
      <c r="C66" s="162" t="s">
        <v>71</v>
      </c>
      <c r="D66" s="163"/>
      <c r="E66" s="163"/>
      <c r="F66" s="163"/>
      <c r="G66" s="164"/>
      <c r="H66" s="67">
        <f>H24</f>
        <v>110.25</v>
      </c>
      <c r="I66" s="102"/>
      <c r="J66" s="12"/>
      <c r="K66" s="12"/>
      <c r="L66" s="12"/>
      <c r="M66" s="12"/>
      <c r="N66" s="12"/>
      <c r="O66" s="12"/>
      <c r="P66" s="12"/>
      <c r="Q66" s="11"/>
      <c r="AB66" s="110"/>
    </row>
    <row r="67" spans="2:34" ht="30" customHeight="1" x14ac:dyDescent="0.2">
      <c r="B67" s="10"/>
      <c r="C67" s="162" t="s">
        <v>218</v>
      </c>
      <c r="D67" s="163"/>
      <c r="E67" s="163"/>
      <c r="F67" s="163"/>
      <c r="G67" s="164"/>
      <c r="H67" s="6">
        <v>13</v>
      </c>
      <c r="I67" s="102" t="s">
        <v>114</v>
      </c>
      <c r="J67" s="12"/>
      <c r="K67" s="12"/>
      <c r="L67" s="12"/>
      <c r="M67" s="12"/>
      <c r="N67" s="12"/>
      <c r="O67" s="12"/>
      <c r="P67" s="12"/>
      <c r="Q67" s="11"/>
    </row>
    <row r="68" spans="2:34" ht="110.1" customHeight="1" x14ac:dyDescent="0.2">
      <c r="B68" s="10"/>
      <c r="C68" s="154" t="s">
        <v>239</v>
      </c>
      <c r="D68" s="155"/>
      <c r="E68" s="155"/>
      <c r="F68" s="155"/>
      <c r="G68" s="156"/>
      <c r="H68" s="6">
        <v>735</v>
      </c>
      <c r="I68" s="102" t="s">
        <v>110</v>
      </c>
      <c r="J68" s="12"/>
      <c r="K68" s="12"/>
      <c r="L68" s="12"/>
      <c r="M68" s="12"/>
      <c r="N68" s="12"/>
      <c r="O68" s="12"/>
      <c r="P68" s="12"/>
      <c r="Q68" s="11"/>
    </row>
    <row r="69" spans="2:34" ht="30" customHeight="1" x14ac:dyDescent="0.2">
      <c r="B69" s="10"/>
      <c r="C69" s="154" t="s">
        <v>219</v>
      </c>
      <c r="D69" s="155"/>
      <c r="E69" s="155"/>
      <c r="F69" s="155"/>
      <c r="G69" s="156"/>
      <c r="H69" s="6">
        <v>1</v>
      </c>
      <c r="I69" s="76"/>
      <c r="J69" s="12"/>
      <c r="K69" s="12"/>
      <c r="L69" s="12"/>
      <c r="M69" s="36"/>
      <c r="N69" s="12"/>
      <c r="O69" s="12"/>
      <c r="P69" s="12"/>
      <c r="Q69" s="11"/>
      <c r="AC69" s="183" t="s">
        <v>242</v>
      </c>
      <c r="AD69" s="184"/>
      <c r="AE69" s="184"/>
      <c r="AF69" s="184"/>
      <c r="AG69" s="185"/>
      <c r="AH69" s="3">
        <f>(H35-H32)/H31</f>
        <v>33.04347826086957</v>
      </c>
    </row>
    <row r="70" spans="2:34" ht="30" customHeight="1" x14ac:dyDescent="0.2">
      <c r="B70" s="10"/>
      <c r="C70" s="154" t="s">
        <v>220</v>
      </c>
      <c r="D70" s="155"/>
      <c r="E70" s="155"/>
      <c r="F70" s="155"/>
      <c r="G70" s="156"/>
      <c r="H70" s="6">
        <v>1</v>
      </c>
      <c r="I70" s="76"/>
      <c r="J70" s="12"/>
      <c r="K70" s="12"/>
      <c r="L70" s="12"/>
      <c r="M70" s="36"/>
      <c r="N70" s="12"/>
      <c r="O70" s="12"/>
      <c r="P70" s="12"/>
      <c r="Q70" s="11"/>
      <c r="AC70" s="119"/>
      <c r="AD70" s="119"/>
      <c r="AE70" s="119"/>
      <c r="AF70" s="119"/>
      <c r="AG70" s="119"/>
      <c r="AH70" s="3">
        <f>IF(H30&lt;AH69,H32+H31*H30,H32+H35+H31*H30)</f>
        <v>37.599999999999994</v>
      </c>
    </row>
    <row r="71" spans="2:34" ht="30" customHeight="1" x14ac:dyDescent="0.2">
      <c r="B71" s="10"/>
      <c r="C71" s="154" t="s">
        <v>221</v>
      </c>
      <c r="D71" s="155"/>
      <c r="E71" s="155"/>
      <c r="F71" s="155"/>
      <c r="G71" s="156"/>
      <c r="H71" s="6">
        <v>0.5</v>
      </c>
      <c r="I71" s="76"/>
      <c r="J71" s="12"/>
      <c r="K71" s="12"/>
      <c r="L71" s="12"/>
      <c r="M71" s="36"/>
      <c r="N71" s="12"/>
      <c r="O71" s="12"/>
      <c r="P71" s="12"/>
      <c r="Q71" s="11"/>
    </row>
    <row r="72" spans="2:34" ht="30" customHeight="1" x14ac:dyDescent="0.2">
      <c r="B72" s="10"/>
      <c r="C72" s="154" t="s">
        <v>222</v>
      </c>
      <c r="D72" s="155"/>
      <c r="E72" s="155"/>
      <c r="F72" s="155"/>
      <c r="G72" s="156"/>
      <c r="H72" s="6">
        <v>14000</v>
      </c>
      <c r="I72" s="102" t="s">
        <v>103</v>
      </c>
      <c r="J72" s="12"/>
      <c r="K72" s="12"/>
      <c r="L72" s="12"/>
      <c r="M72" s="36"/>
      <c r="N72" s="12"/>
      <c r="O72" s="12"/>
      <c r="P72" s="12"/>
      <c r="Q72" s="11"/>
    </row>
    <row r="73" spans="2:34" ht="30" customHeight="1" x14ac:dyDescent="0.25">
      <c r="B73" s="10"/>
      <c r="C73" s="154" t="s">
        <v>223</v>
      </c>
      <c r="D73" s="155"/>
      <c r="E73" s="155"/>
      <c r="F73" s="155"/>
      <c r="G73" s="156"/>
      <c r="H73" s="6">
        <v>0.66666666666666663</v>
      </c>
      <c r="I73" s="76"/>
      <c r="J73" s="12"/>
      <c r="K73" s="12"/>
      <c r="L73" s="12"/>
      <c r="M73" s="66"/>
      <c r="N73" s="12"/>
      <c r="O73" s="12"/>
      <c r="P73" s="12"/>
      <c r="Q73" s="11"/>
    </row>
    <row r="74" spans="2:34" ht="30" customHeight="1" x14ac:dyDescent="0.2">
      <c r="B74" s="10"/>
      <c r="C74" s="154" t="s">
        <v>224</v>
      </c>
      <c r="D74" s="155"/>
      <c r="E74" s="155"/>
      <c r="F74" s="155"/>
      <c r="G74" s="156"/>
      <c r="H74" s="72">
        <v>0.03</v>
      </c>
      <c r="I74" s="102" t="s">
        <v>111</v>
      </c>
      <c r="J74" s="12"/>
      <c r="K74" s="12"/>
      <c r="L74" s="12"/>
      <c r="M74" s="36"/>
      <c r="N74" s="12"/>
      <c r="O74" s="12"/>
      <c r="P74" s="12"/>
      <c r="Q74" s="11"/>
    </row>
    <row r="75" spans="2:34" ht="30" customHeight="1" x14ac:dyDescent="0.25">
      <c r="B75" s="10"/>
      <c r="C75" s="73"/>
      <c r="D75" s="73"/>
      <c r="E75" s="73"/>
      <c r="F75" s="73"/>
      <c r="G75" s="73"/>
      <c r="H75" s="18"/>
      <c r="I75" s="76"/>
      <c r="J75" s="12"/>
      <c r="K75" s="12"/>
      <c r="L75" s="12"/>
      <c r="M75" s="36"/>
      <c r="N75" s="12"/>
      <c r="O75" s="12"/>
      <c r="P75" s="12"/>
      <c r="Q75" s="11"/>
    </row>
    <row r="76" spans="2:34" ht="15" x14ac:dyDescent="0.25">
      <c r="B76" s="10"/>
      <c r="C76" s="14" t="s">
        <v>73</v>
      </c>
      <c r="D76" s="12"/>
      <c r="E76" s="12"/>
      <c r="F76" s="12"/>
      <c r="G76" s="12"/>
      <c r="H76" s="18"/>
      <c r="I76" s="76"/>
      <c r="J76" s="12"/>
      <c r="K76" s="12"/>
      <c r="L76" s="12"/>
      <c r="M76" s="36"/>
      <c r="N76" s="12"/>
      <c r="O76" s="12"/>
      <c r="P76" s="12"/>
      <c r="Q76" s="11"/>
    </row>
    <row r="77" spans="2:34" ht="20.100000000000001" customHeight="1" x14ac:dyDescent="0.25">
      <c r="B77" s="10"/>
      <c r="C77" s="53"/>
      <c r="D77" s="12"/>
      <c r="E77" s="12"/>
      <c r="F77" s="12"/>
      <c r="G77" s="12"/>
      <c r="H77" s="18"/>
      <c r="I77" s="76"/>
      <c r="J77" s="12"/>
      <c r="K77" s="12"/>
      <c r="L77" s="12"/>
      <c r="M77" s="36"/>
      <c r="N77" s="12"/>
      <c r="O77" s="12"/>
      <c r="P77" s="12"/>
      <c r="Q77" s="11"/>
    </row>
    <row r="78" spans="2:34" ht="30" customHeight="1" x14ac:dyDescent="0.2">
      <c r="B78" s="10"/>
      <c r="C78" s="154" t="s">
        <v>240</v>
      </c>
      <c r="D78" s="160"/>
      <c r="E78" s="160"/>
      <c r="F78" s="160"/>
      <c r="G78" s="161"/>
      <c r="H78" s="1">
        <f>(H51*(H23^4))/(384*H68*1000*H62)</f>
        <v>1.5589859602027452</v>
      </c>
      <c r="I78" s="102" t="s">
        <v>119</v>
      </c>
      <c r="J78" s="12"/>
      <c r="K78" s="12"/>
      <c r="L78" s="12"/>
      <c r="M78" s="36"/>
      <c r="N78" s="12"/>
      <c r="O78" s="12"/>
      <c r="P78" s="12"/>
      <c r="Q78" s="11"/>
    </row>
    <row r="79" spans="2:34" ht="30" customHeight="1" x14ac:dyDescent="0.2">
      <c r="B79" s="10"/>
      <c r="C79" s="154" t="s">
        <v>241</v>
      </c>
      <c r="D79" s="160"/>
      <c r="E79" s="160"/>
      <c r="F79" s="160"/>
      <c r="G79" s="161"/>
      <c r="H79" s="1">
        <f>0.05*H23</f>
        <v>1.7875000000000001</v>
      </c>
      <c r="I79" s="102" t="s">
        <v>119</v>
      </c>
      <c r="J79" s="151" t="str">
        <f>IF(H78&lt;=H79,"The "&amp;H61&amp;"-inch thickness is good for the deflection performance","The "&amp;H61&amp;"-inch thickness is not sufficient for the deflection performance")</f>
        <v>The 1-inch thickness is good for the deflection performance</v>
      </c>
      <c r="K79" s="151"/>
      <c r="L79" s="151"/>
      <c r="M79" s="151"/>
      <c r="N79" s="151"/>
      <c r="O79" s="151"/>
      <c r="P79" s="12"/>
      <c r="Q79" s="11"/>
    </row>
    <row r="80" spans="2:34" ht="30" customHeight="1" x14ac:dyDescent="0.2">
      <c r="B80" s="10"/>
      <c r="C80" s="154" t="s">
        <v>225</v>
      </c>
      <c r="D80" s="155"/>
      <c r="E80" s="155"/>
      <c r="F80" s="155"/>
      <c r="G80" s="156"/>
      <c r="H80" s="1">
        <f>((1.55*H63*(H61^(2/5))*(H65^(1/5)))/((H64^(1/5))*(H66^(3/5))))*180/PI()</f>
        <v>15.069173826700295</v>
      </c>
      <c r="I80" s="102" t="s">
        <v>114</v>
      </c>
      <c r="J80" s="12"/>
      <c r="K80" s="12"/>
      <c r="L80" s="12"/>
      <c r="M80" s="36"/>
      <c r="N80" s="12"/>
      <c r="O80" s="12"/>
      <c r="P80" s="12"/>
      <c r="Q80" s="11"/>
    </row>
    <row r="81" spans="2:17" ht="30" customHeight="1" x14ac:dyDescent="0.2">
      <c r="B81" s="10"/>
      <c r="C81" s="122" t="s">
        <v>148</v>
      </c>
      <c r="D81" s="152"/>
      <c r="E81" s="152"/>
      <c r="F81" s="152"/>
      <c r="G81" s="153"/>
      <c r="H81" s="1">
        <f>H80/H67</f>
        <v>1.1591672174384842</v>
      </c>
      <c r="I81" s="101"/>
      <c r="J81" s="151" t="str">
        <f>IF(H81&lt;=1.5,"Eq. 8-33 is satisfied: αcr / α ≤ 1.5","Eq. 8-33 is not satisfied: αcr / α &gt; 1.5")</f>
        <v>Eq. 8-33 is satisfied: αcr / α ≤ 1.5</v>
      </c>
      <c r="K81" s="151"/>
      <c r="L81" s="151"/>
      <c r="M81" s="151"/>
      <c r="N81" s="151"/>
      <c r="O81" s="151"/>
      <c r="P81" s="12"/>
      <c r="Q81" s="11"/>
    </row>
    <row r="82" spans="2:17" ht="30" customHeight="1" x14ac:dyDescent="0.2">
      <c r="B82" s="10"/>
      <c r="C82" s="148" t="s">
        <v>226</v>
      </c>
      <c r="D82" s="149"/>
      <c r="E82" s="149"/>
      <c r="F82" s="149"/>
      <c r="G82" s="150"/>
      <c r="H82" s="1">
        <f>'Arch Pipe - Polym.'!AH23</f>
        <v>2.2806497568068509</v>
      </c>
      <c r="I82" s="102" t="s">
        <v>103</v>
      </c>
      <c r="J82" s="71"/>
      <c r="K82" s="71"/>
      <c r="L82" s="71"/>
      <c r="M82" s="71"/>
      <c r="N82" s="71"/>
      <c r="O82" s="71"/>
      <c r="P82" s="12"/>
      <c r="Q82" s="11"/>
    </row>
    <row r="83" spans="2:17" ht="30" customHeight="1" x14ac:dyDescent="0.2">
      <c r="B83" s="10"/>
      <c r="C83" s="148" t="s">
        <v>227</v>
      </c>
      <c r="D83" s="149"/>
      <c r="E83" s="149"/>
      <c r="F83" s="149"/>
      <c r="G83" s="150"/>
      <c r="H83" s="1">
        <f>'Arch Pipe - Polym.'!AH24</f>
        <v>11.429640510190815</v>
      </c>
      <c r="I83" s="102" t="s">
        <v>103</v>
      </c>
      <c r="J83" s="94"/>
      <c r="K83" s="94"/>
      <c r="L83" s="94"/>
      <c r="M83" s="94"/>
      <c r="N83" s="94"/>
      <c r="O83" s="94"/>
      <c r="P83" s="12"/>
      <c r="Q83" s="11"/>
    </row>
    <row r="84" spans="2:17" ht="30" customHeight="1" x14ac:dyDescent="0.2">
      <c r="B84" s="10"/>
      <c r="C84" s="122" t="s">
        <v>149</v>
      </c>
      <c r="D84" s="152"/>
      <c r="E84" s="152"/>
      <c r="F84" s="152"/>
      <c r="G84" s="153"/>
      <c r="H84" s="1">
        <f>H83*H71</f>
        <v>5.7148202550954075</v>
      </c>
      <c r="I84" s="102" t="s">
        <v>103</v>
      </c>
      <c r="J84" s="151" t="str">
        <f>IF(H82&lt;=H84,"Condition of stability is verified: P ≤ (ϕbck Pcr )","Condition of stability is not verified: P &gt; (ϕbck Pcr)")</f>
        <v>Condition of stability is verified: P ≤ (ϕbck Pcr )</v>
      </c>
      <c r="K84" s="151"/>
      <c r="L84" s="151"/>
      <c r="M84" s="151"/>
      <c r="N84" s="151"/>
      <c r="O84" s="151"/>
      <c r="P84" s="12"/>
      <c r="Q84" s="11"/>
    </row>
    <row r="85" spans="2:17" ht="30" customHeight="1" x14ac:dyDescent="0.2">
      <c r="B85" s="10"/>
      <c r="C85" s="122" t="s">
        <v>150</v>
      </c>
      <c r="D85" s="152"/>
      <c r="E85" s="152"/>
      <c r="F85" s="152"/>
      <c r="G85" s="153"/>
      <c r="H85" s="1">
        <f>H72*H73</f>
        <v>9333.3333333333321</v>
      </c>
      <c r="I85" s="102" t="s">
        <v>103</v>
      </c>
      <c r="J85" s="71"/>
      <c r="K85" s="71"/>
      <c r="L85" s="71"/>
      <c r="M85" s="71"/>
      <c r="N85" s="71"/>
      <c r="O85" s="71"/>
      <c r="P85" s="12"/>
      <c r="Q85" s="11"/>
    </row>
    <row r="86" spans="2:17" ht="30" customHeight="1" x14ac:dyDescent="0.2">
      <c r="B86" s="10"/>
      <c r="C86" s="122" t="s">
        <v>151</v>
      </c>
      <c r="D86" s="152"/>
      <c r="E86" s="152"/>
      <c r="F86" s="152"/>
      <c r="G86" s="153"/>
      <c r="H86" s="1">
        <f>'Arch Pipe - Polym.'!AH33</f>
        <v>818.38410870899736</v>
      </c>
      <c r="I86" s="102" t="s">
        <v>103</v>
      </c>
      <c r="J86" s="151" t="str">
        <f>IF(H86&lt;=H85,"Condition of strength is verified: σu ≤ (ϕM σR)","Condition of strength is not verified: σu &gt; (ϕM σR)")</f>
        <v>Condition of strength is verified: σu ≤ (ϕM σR)</v>
      </c>
      <c r="K86" s="151"/>
      <c r="L86" s="151"/>
      <c r="M86" s="151"/>
      <c r="N86" s="151"/>
      <c r="O86" s="151"/>
      <c r="P86" s="12"/>
      <c r="Q86" s="11"/>
    </row>
    <row r="87" spans="2:17" ht="30" customHeight="1" x14ac:dyDescent="0.2">
      <c r="B87" s="10"/>
      <c r="C87" s="122" t="s">
        <v>228</v>
      </c>
      <c r="D87" s="152"/>
      <c r="E87" s="152"/>
      <c r="F87" s="152"/>
      <c r="G87" s="153"/>
      <c r="H87" s="1">
        <f>'Arch Pipe - Polym.'!AH34</f>
        <v>0.1671505314009174</v>
      </c>
      <c r="I87" s="102" t="s">
        <v>119</v>
      </c>
      <c r="J87" s="71"/>
      <c r="K87" s="71"/>
      <c r="L87" s="71"/>
      <c r="M87" s="71"/>
      <c r="N87" s="71"/>
      <c r="O87" s="71"/>
      <c r="P87" s="12"/>
      <c r="Q87" s="11"/>
    </row>
    <row r="88" spans="2:17" ht="30" customHeight="1" x14ac:dyDescent="0.2">
      <c r="B88" s="10"/>
      <c r="C88" s="122" t="s">
        <v>229</v>
      </c>
      <c r="D88" s="152"/>
      <c r="E88" s="152"/>
      <c r="F88" s="152"/>
      <c r="G88" s="153"/>
      <c r="H88" s="1">
        <f>((H67*PI())/180)*H24*H74</f>
        <v>0.75044794512626178</v>
      </c>
      <c r="I88" s="102" t="s">
        <v>119</v>
      </c>
      <c r="J88" s="151" t="str">
        <f>IF(H87&lt;=H88,"Deflection is within the suggested limit of "&amp;H74*100&amp;"%","Deflection is not within the suggested limit of "&amp;H74*100&amp;"%")</f>
        <v>Deflection is within the suggested limit of 3%</v>
      </c>
      <c r="K88" s="151"/>
      <c r="L88" s="151"/>
      <c r="M88" s="151"/>
      <c r="N88" s="151"/>
      <c r="O88" s="151"/>
      <c r="P88" s="12"/>
      <c r="Q88" s="11"/>
    </row>
    <row r="89" spans="2:17" ht="15" hidden="1" x14ac:dyDescent="0.25">
      <c r="B89" s="10"/>
      <c r="C89" s="15"/>
      <c r="D89" s="15"/>
      <c r="E89" s="15"/>
      <c r="F89" s="15"/>
      <c r="G89" s="15"/>
      <c r="H89" s="89"/>
      <c r="I89" s="77"/>
      <c r="J89" s="15"/>
      <c r="K89" s="15"/>
      <c r="L89" s="15"/>
      <c r="M89" s="15"/>
      <c r="N89" s="15"/>
      <c r="O89" s="15"/>
      <c r="P89" s="15"/>
      <c r="Q89" s="11"/>
    </row>
    <row r="90" spans="2:17" ht="15" hidden="1" customHeight="1" x14ac:dyDescent="0.25">
      <c r="B90" s="10"/>
      <c r="C90" s="15"/>
      <c r="D90" s="15"/>
      <c r="E90" s="15"/>
      <c r="F90" s="15"/>
      <c r="G90" s="15"/>
      <c r="H90" s="89"/>
      <c r="I90" s="77"/>
      <c r="J90" s="15"/>
      <c r="K90" s="15"/>
      <c r="L90" s="15"/>
      <c r="M90" s="15"/>
      <c r="N90" s="15"/>
      <c r="O90" s="15"/>
      <c r="P90" s="15"/>
      <c r="Q90" s="11"/>
    </row>
    <row r="91" spans="2:17" ht="15" hidden="1" x14ac:dyDescent="0.25">
      <c r="B91" s="10"/>
      <c r="C91" s="15"/>
      <c r="D91" s="15"/>
      <c r="E91" s="15"/>
      <c r="F91" s="15"/>
      <c r="G91" s="15"/>
      <c r="H91" s="89"/>
      <c r="I91" s="77"/>
      <c r="J91" s="15"/>
      <c r="K91" s="15"/>
      <c r="L91" s="15"/>
      <c r="M91" s="15"/>
      <c r="N91" s="15"/>
      <c r="O91" s="15"/>
      <c r="P91" s="15"/>
      <c r="Q91" s="11"/>
    </row>
    <row r="92" spans="2:17" ht="15" hidden="1" x14ac:dyDescent="0.25">
      <c r="B92" s="10"/>
      <c r="C92" s="15"/>
      <c r="D92" s="15"/>
      <c r="E92" s="15"/>
      <c r="F92" s="15"/>
      <c r="G92" s="15"/>
      <c r="H92" s="89"/>
      <c r="I92" s="77"/>
      <c r="J92" s="15"/>
      <c r="K92" s="15"/>
      <c r="L92" s="15"/>
      <c r="M92" s="15"/>
      <c r="N92" s="15"/>
      <c r="O92" s="15"/>
      <c r="P92" s="15"/>
      <c r="Q92" s="11"/>
    </row>
    <row r="93" spans="2:17" ht="15" hidden="1" x14ac:dyDescent="0.25">
      <c r="B93" s="10"/>
      <c r="C93" s="15"/>
      <c r="D93" s="15"/>
      <c r="E93" s="15"/>
      <c r="F93" s="15"/>
      <c r="G93" s="15"/>
      <c r="H93" s="89"/>
      <c r="I93" s="77"/>
      <c r="J93" s="15"/>
      <c r="K93" s="15"/>
      <c r="L93" s="15"/>
      <c r="M93" s="15"/>
      <c r="N93" s="15"/>
      <c r="O93" s="15"/>
      <c r="P93" s="15"/>
      <c r="Q93" s="11"/>
    </row>
    <row r="94" spans="2:17" ht="15" hidden="1" x14ac:dyDescent="0.25">
      <c r="B94" s="10"/>
      <c r="C94" s="15"/>
      <c r="D94" s="15"/>
      <c r="E94" s="15"/>
      <c r="F94" s="15"/>
      <c r="G94" s="15"/>
      <c r="H94" s="89"/>
      <c r="I94" s="77"/>
      <c r="J94" s="15"/>
      <c r="K94" s="15"/>
      <c r="L94" s="15"/>
      <c r="M94" s="15"/>
      <c r="N94" s="15"/>
      <c r="O94" s="15"/>
      <c r="P94" s="15"/>
      <c r="Q94" s="11"/>
    </row>
    <row r="95" spans="2:17" ht="15" hidden="1" x14ac:dyDescent="0.25">
      <c r="B95" s="10"/>
      <c r="C95" s="15"/>
      <c r="D95" s="15"/>
      <c r="E95" s="15"/>
      <c r="F95" s="15"/>
      <c r="G95" s="15"/>
      <c r="H95" s="89"/>
      <c r="I95" s="77"/>
      <c r="J95" s="15"/>
      <c r="K95" s="15"/>
      <c r="L95" s="15"/>
      <c r="M95" s="15"/>
      <c r="N95" s="15"/>
      <c r="O95" s="15"/>
      <c r="P95" s="15"/>
      <c r="Q95" s="11"/>
    </row>
    <row r="96" spans="2:17" ht="15" hidden="1" x14ac:dyDescent="0.25">
      <c r="B96" s="10"/>
      <c r="C96" s="15"/>
      <c r="D96" s="15"/>
      <c r="E96" s="15"/>
      <c r="F96" s="15"/>
      <c r="G96" s="15"/>
      <c r="H96" s="89"/>
      <c r="I96" s="77"/>
      <c r="J96" s="15"/>
      <c r="K96" s="15"/>
      <c r="L96" s="15"/>
      <c r="M96" s="15"/>
      <c r="N96" s="15"/>
      <c r="O96" s="15"/>
      <c r="P96" s="15"/>
      <c r="Q96" s="11"/>
    </row>
    <row r="97" spans="2:17" ht="15" hidden="1" x14ac:dyDescent="0.25">
      <c r="B97" s="10"/>
      <c r="C97" s="15"/>
      <c r="D97" s="15"/>
      <c r="E97" s="15"/>
      <c r="F97" s="15"/>
      <c r="G97" s="15"/>
      <c r="H97" s="89"/>
      <c r="I97" s="77"/>
      <c r="J97" s="15"/>
      <c r="K97" s="15"/>
      <c r="L97" s="15"/>
      <c r="M97" s="15"/>
      <c r="N97" s="15"/>
      <c r="O97" s="15"/>
      <c r="P97" s="15"/>
      <c r="Q97" s="11"/>
    </row>
    <row r="98" spans="2:17" ht="15" hidden="1" x14ac:dyDescent="0.25">
      <c r="B98" s="10"/>
      <c r="C98" s="15"/>
      <c r="D98" s="15"/>
      <c r="E98" s="15"/>
      <c r="F98" s="15"/>
      <c r="G98" s="15"/>
      <c r="H98" s="89"/>
      <c r="I98" s="77"/>
      <c r="J98" s="15"/>
      <c r="K98" s="15"/>
      <c r="L98" s="15"/>
      <c r="M98" s="15"/>
      <c r="N98" s="15"/>
      <c r="O98" s="15"/>
      <c r="P98" s="15"/>
      <c r="Q98" s="11"/>
    </row>
    <row r="99" spans="2:17" ht="15" hidden="1" x14ac:dyDescent="0.25">
      <c r="B99" s="10"/>
      <c r="C99" s="15"/>
      <c r="D99" s="15"/>
      <c r="E99" s="15"/>
      <c r="F99" s="15"/>
      <c r="G99" s="15"/>
      <c r="H99" s="89"/>
      <c r="I99" s="77"/>
      <c r="J99" s="15"/>
      <c r="K99" s="15"/>
      <c r="L99" s="15"/>
      <c r="M99" s="15"/>
      <c r="N99" s="15"/>
      <c r="O99" s="15"/>
      <c r="P99" s="15"/>
      <c r="Q99" s="11"/>
    </row>
    <row r="100" spans="2:17" ht="15" hidden="1" x14ac:dyDescent="0.25">
      <c r="B100" s="10"/>
      <c r="C100" s="15"/>
      <c r="D100" s="15"/>
      <c r="E100" s="15"/>
      <c r="F100" s="15"/>
      <c r="G100" s="15"/>
      <c r="H100" s="89"/>
      <c r="I100" s="77"/>
      <c r="J100" s="15"/>
      <c r="K100" s="15"/>
      <c r="L100" s="15"/>
      <c r="M100" s="15"/>
      <c r="N100" s="15"/>
      <c r="O100" s="15"/>
      <c r="P100" s="15"/>
      <c r="Q100" s="11"/>
    </row>
    <row r="101" spans="2:17" ht="15" hidden="1" x14ac:dyDescent="0.25">
      <c r="B101" s="10"/>
      <c r="C101" s="15"/>
      <c r="D101" s="15"/>
      <c r="E101" s="15"/>
      <c r="F101" s="15"/>
      <c r="G101" s="15"/>
      <c r="H101" s="89"/>
      <c r="I101" s="77"/>
      <c r="J101" s="15"/>
      <c r="K101" s="15"/>
      <c r="L101" s="15"/>
      <c r="M101" s="15"/>
      <c r="N101" s="15"/>
      <c r="O101" s="15"/>
      <c r="P101" s="15"/>
      <c r="Q101" s="11"/>
    </row>
    <row r="102" spans="2:17" ht="15" hidden="1" x14ac:dyDescent="0.25">
      <c r="B102" s="10"/>
      <c r="C102" s="15"/>
      <c r="D102" s="15"/>
      <c r="E102" s="15"/>
      <c r="F102" s="15"/>
      <c r="G102" s="15"/>
      <c r="H102" s="89"/>
      <c r="I102" s="77"/>
      <c r="J102" s="15"/>
      <c r="K102" s="15"/>
      <c r="L102" s="15"/>
      <c r="M102" s="15"/>
      <c r="N102" s="15"/>
      <c r="O102" s="15"/>
      <c r="P102" s="15"/>
      <c r="Q102" s="11"/>
    </row>
    <row r="103" spans="2:17" ht="15" hidden="1" x14ac:dyDescent="0.25">
      <c r="B103" s="10"/>
      <c r="C103" s="15"/>
      <c r="D103" s="15"/>
      <c r="E103" s="15"/>
      <c r="F103" s="15"/>
      <c r="G103" s="15"/>
      <c r="H103" s="89"/>
      <c r="I103" s="77"/>
      <c r="J103" s="15"/>
      <c r="K103" s="15"/>
      <c r="L103" s="15"/>
      <c r="M103" s="15"/>
      <c r="N103" s="15"/>
      <c r="O103" s="15"/>
      <c r="P103" s="15"/>
      <c r="Q103" s="11"/>
    </row>
    <row r="104" spans="2:17" ht="15" hidden="1" x14ac:dyDescent="0.25">
      <c r="B104" s="10"/>
      <c r="C104" s="15"/>
      <c r="D104" s="15"/>
      <c r="E104" s="15"/>
      <c r="F104" s="15"/>
      <c r="G104" s="15"/>
      <c r="H104" s="89"/>
      <c r="I104" s="77"/>
      <c r="J104" s="15"/>
      <c r="K104" s="15"/>
      <c r="L104" s="15"/>
      <c r="M104" s="15"/>
      <c r="N104" s="15"/>
      <c r="O104" s="15"/>
      <c r="P104" s="15"/>
      <c r="Q104" s="11"/>
    </row>
    <row r="105" spans="2:17" ht="15" hidden="1" x14ac:dyDescent="0.25">
      <c r="B105" s="10"/>
      <c r="C105" s="15"/>
      <c r="D105" s="15"/>
      <c r="E105" s="15"/>
      <c r="F105" s="15"/>
      <c r="G105" s="15"/>
      <c r="H105" s="89"/>
      <c r="I105" s="77"/>
      <c r="J105" s="15"/>
      <c r="K105" s="15"/>
      <c r="L105" s="15"/>
      <c r="M105" s="15"/>
      <c r="N105" s="15"/>
      <c r="O105" s="15"/>
      <c r="P105" s="15"/>
      <c r="Q105" s="11"/>
    </row>
    <row r="106" spans="2:17" ht="15" hidden="1" x14ac:dyDescent="0.25">
      <c r="B106" s="10"/>
      <c r="C106" s="15"/>
      <c r="D106" s="15"/>
      <c r="E106" s="15"/>
      <c r="F106" s="15"/>
      <c r="G106" s="15"/>
      <c r="H106" s="89"/>
      <c r="I106" s="77"/>
      <c r="J106" s="15"/>
      <c r="K106" s="15"/>
      <c r="L106" s="15"/>
      <c r="M106" s="15"/>
      <c r="N106" s="15"/>
      <c r="O106" s="15"/>
      <c r="P106" s="15"/>
      <c r="Q106" s="11"/>
    </row>
    <row r="107" spans="2:17" ht="15" hidden="1" x14ac:dyDescent="0.25">
      <c r="B107" s="10"/>
      <c r="C107" s="15"/>
      <c r="D107" s="15"/>
      <c r="E107" s="15"/>
      <c r="F107" s="15"/>
      <c r="G107" s="15"/>
      <c r="H107" s="89"/>
      <c r="I107" s="77"/>
      <c r="J107" s="15"/>
      <c r="K107" s="15"/>
      <c r="L107" s="15"/>
      <c r="M107" s="15"/>
      <c r="N107" s="15"/>
      <c r="O107" s="15"/>
      <c r="P107" s="15"/>
      <c r="Q107" s="11"/>
    </row>
    <row r="108" spans="2:17" ht="15" hidden="1" x14ac:dyDescent="0.25">
      <c r="B108" s="10"/>
      <c r="C108" s="15"/>
      <c r="D108" s="15"/>
      <c r="E108" s="15"/>
      <c r="F108" s="15"/>
      <c r="G108" s="15"/>
      <c r="H108" s="89"/>
      <c r="I108" s="77"/>
      <c r="J108" s="15"/>
      <c r="K108" s="15"/>
      <c r="L108" s="15"/>
      <c r="M108" s="15"/>
      <c r="N108" s="15"/>
      <c r="O108" s="15"/>
      <c r="P108" s="15"/>
      <c r="Q108" s="11"/>
    </row>
    <row r="109" spans="2:17" ht="15" hidden="1" x14ac:dyDescent="0.25">
      <c r="B109" s="10"/>
      <c r="C109" s="15"/>
      <c r="D109" s="15"/>
      <c r="E109" s="15"/>
      <c r="F109" s="15"/>
      <c r="G109" s="15"/>
      <c r="H109" s="89"/>
      <c r="I109" s="77"/>
      <c r="J109" s="15"/>
      <c r="K109" s="15"/>
      <c r="L109" s="15"/>
      <c r="M109" s="15"/>
      <c r="N109" s="15"/>
      <c r="O109" s="15"/>
      <c r="P109" s="15"/>
      <c r="Q109" s="11"/>
    </row>
    <row r="110" spans="2:17" ht="15" hidden="1" x14ac:dyDescent="0.25">
      <c r="B110" s="10"/>
      <c r="C110" s="15"/>
      <c r="D110" s="15"/>
      <c r="E110" s="15"/>
      <c r="F110" s="15"/>
      <c r="G110" s="15"/>
      <c r="H110" s="89"/>
      <c r="I110" s="77"/>
      <c r="J110" s="15"/>
      <c r="K110" s="15"/>
      <c r="L110" s="15"/>
      <c r="M110" s="15"/>
      <c r="N110" s="15"/>
      <c r="O110" s="15"/>
      <c r="P110" s="15"/>
      <c r="Q110" s="11"/>
    </row>
    <row r="111" spans="2:17" ht="15" hidden="1" x14ac:dyDescent="0.25">
      <c r="B111" s="10"/>
      <c r="C111" s="15"/>
      <c r="D111" s="15"/>
      <c r="E111" s="15"/>
      <c r="F111" s="15"/>
      <c r="G111" s="15"/>
      <c r="H111" s="89"/>
      <c r="I111" s="77"/>
      <c r="J111" s="15"/>
      <c r="K111" s="15"/>
      <c r="L111" s="15"/>
      <c r="M111" s="15"/>
      <c r="N111" s="15"/>
      <c r="O111" s="15"/>
      <c r="P111" s="15"/>
      <c r="Q111" s="11"/>
    </row>
    <row r="112" spans="2:17" ht="15" hidden="1" x14ac:dyDescent="0.25">
      <c r="B112" s="10"/>
      <c r="C112" s="15"/>
      <c r="D112" s="15"/>
      <c r="E112" s="15"/>
      <c r="F112" s="15"/>
      <c r="G112" s="15"/>
      <c r="H112" s="89"/>
      <c r="I112" s="77"/>
      <c r="J112" s="15"/>
      <c r="K112" s="15"/>
      <c r="L112" s="15"/>
      <c r="M112" s="15"/>
      <c r="N112" s="15"/>
      <c r="O112" s="15"/>
      <c r="P112" s="15"/>
      <c r="Q112" s="11"/>
    </row>
    <row r="113" spans="2:17" ht="15.75" thickBot="1" x14ac:dyDescent="0.3">
      <c r="B113" s="19"/>
      <c r="C113" s="54"/>
      <c r="D113" s="54"/>
      <c r="E113" s="54"/>
      <c r="F113" s="54"/>
      <c r="G113" s="54"/>
      <c r="H113" s="55"/>
      <c r="I113" s="80"/>
      <c r="J113" s="54"/>
      <c r="K113" s="54"/>
      <c r="L113" s="54"/>
      <c r="M113" s="54"/>
      <c r="N113" s="54"/>
      <c r="O113" s="54"/>
      <c r="P113" s="54"/>
      <c r="Q113" s="23"/>
    </row>
    <row r="114" spans="2:17" ht="15" x14ac:dyDescent="0.25">
      <c r="H114" s="5"/>
    </row>
    <row r="115" spans="2:17" ht="15" x14ac:dyDescent="0.25">
      <c r="H115" s="5"/>
    </row>
    <row r="116" spans="2:17" ht="15" x14ac:dyDescent="0.25">
      <c r="H116" s="5"/>
    </row>
    <row r="117" spans="2:17" ht="15" x14ac:dyDescent="0.25">
      <c r="H117" s="5"/>
    </row>
    <row r="118" spans="2:17" ht="15" x14ac:dyDescent="0.25">
      <c r="H118" s="5"/>
    </row>
    <row r="119" spans="2:17" ht="15" x14ac:dyDescent="0.25">
      <c r="H119" s="5"/>
    </row>
    <row r="120" spans="2:17" ht="15" x14ac:dyDescent="0.25">
      <c r="H120" s="5"/>
    </row>
    <row r="121" spans="2:17" ht="15" x14ac:dyDescent="0.25">
      <c r="H121" s="5"/>
    </row>
    <row r="122" spans="2:17" ht="15" x14ac:dyDescent="0.25">
      <c r="H122" s="5"/>
    </row>
    <row r="123" spans="2:17" ht="15" x14ac:dyDescent="0.25">
      <c r="H123" s="5"/>
    </row>
    <row r="124" spans="2:17" ht="15" x14ac:dyDescent="0.25">
      <c r="H124" s="5"/>
    </row>
    <row r="125" spans="2:17" ht="15" x14ac:dyDescent="0.25">
      <c r="H125" s="5"/>
    </row>
    <row r="126" spans="2:17" ht="15" x14ac:dyDescent="0.25">
      <c r="H126" s="5"/>
    </row>
    <row r="127" spans="2:17" ht="15" x14ac:dyDescent="0.25">
      <c r="H127" s="5"/>
    </row>
    <row r="128" spans="2:17" ht="15" x14ac:dyDescent="0.25">
      <c r="H128" s="5"/>
    </row>
    <row r="129" spans="8:8" ht="15" x14ac:dyDescent="0.25">
      <c r="H129" s="5"/>
    </row>
    <row r="130" spans="8:8" ht="15" x14ac:dyDescent="0.25">
      <c r="H130" s="5"/>
    </row>
    <row r="131" spans="8:8" ht="15" x14ac:dyDescent="0.25">
      <c r="H131" s="5"/>
    </row>
    <row r="132" spans="8:8" ht="15" x14ac:dyDescent="0.25">
      <c r="H132" s="5"/>
    </row>
    <row r="133" spans="8:8" ht="15" x14ac:dyDescent="0.25">
      <c r="H133" s="5"/>
    </row>
    <row r="134" spans="8:8" ht="15" x14ac:dyDescent="0.25">
      <c r="H134" s="5"/>
    </row>
    <row r="135" spans="8:8" ht="15" x14ac:dyDescent="0.25">
      <c r="H135" s="5"/>
    </row>
    <row r="136" spans="8:8" ht="15" x14ac:dyDescent="0.25">
      <c r="H136" s="5"/>
    </row>
    <row r="137" spans="8:8" ht="15" x14ac:dyDescent="0.25">
      <c r="H137" s="5"/>
    </row>
    <row r="138" spans="8:8" ht="15" x14ac:dyDescent="0.25">
      <c r="H138" s="5"/>
    </row>
    <row r="139" spans="8:8" ht="15" x14ac:dyDescent="0.25">
      <c r="H139" s="5"/>
    </row>
    <row r="140" spans="8:8" ht="15" x14ac:dyDescent="0.25">
      <c r="H140" s="5"/>
    </row>
    <row r="141" spans="8:8" ht="15" x14ac:dyDescent="0.25">
      <c r="H141" s="5"/>
    </row>
    <row r="142" spans="8:8" ht="15" x14ac:dyDescent="0.25">
      <c r="H142" s="5"/>
    </row>
    <row r="143" spans="8:8" ht="15" x14ac:dyDescent="0.25">
      <c r="H143" s="5"/>
    </row>
    <row r="144" spans="8:8" ht="15" x14ac:dyDescent="0.25">
      <c r="H144" s="5"/>
    </row>
    <row r="145" spans="8:8" ht="15" x14ac:dyDescent="0.25">
      <c r="H145" s="5"/>
    </row>
    <row r="146" spans="8:8" ht="15" x14ac:dyDescent="0.25">
      <c r="H146" s="5"/>
    </row>
    <row r="147" spans="8:8" ht="15" x14ac:dyDescent="0.25">
      <c r="H147" s="5"/>
    </row>
    <row r="148" spans="8:8" ht="15" x14ac:dyDescent="0.25">
      <c r="H148" s="5"/>
    </row>
    <row r="149" spans="8:8" ht="15" x14ac:dyDescent="0.25">
      <c r="H149" s="5"/>
    </row>
    <row r="150" spans="8:8" ht="15" x14ac:dyDescent="0.25">
      <c r="H150" s="5"/>
    </row>
    <row r="151" spans="8:8" ht="15" x14ac:dyDescent="0.25">
      <c r="H151" s="5"/>
    </row>
    <row r="152" spans="8:8" ht="15" x14ac:dyDescent="0.25">
      <c r="H152" s="5"/>
    </row>
    <row r="153" spans="8:8" ht="15" x14ac:dyDescent="0.25">
      <c r="H153" s="5"/>
    </row>
    <row r="154" spans="8:8" ht="15" x14ac:dyDescent="0.25">
      <c r="H154" s="5"/>
    </row>
    <row r="155" spans="8:8" ht="15" x14ac:dyDescent="0.25">
      <c r="H155" s="5"/>
    </row>
    <row r="156" spans="8:8" ht="15" x14ac:dyDescent="0.25">
      <c r="H156" s="5"/>
    </row>
    <row r="157" spans="8:8" ht="15" x14ac:dyDescent="0.25">
      <c r="H157" s="5"/>
    </row>
    <row r="158" spans="8:8" ht="15" x14ac:dyDescent="0.25">
      <c r="H158" s="5"/>
    </row>
    <row r="159" spans="8:8" ht="15" x14ac:dyDescent="0.25">
      <c r="H159" s="5"/>
    </row>
    <row r="160" spans="8:8" ht="15" x14ac:dyDescent="0.25">
      <c r="H160" s="5"/>
    </row>
    <row r="161" spans="8:8" ht="15" x14ac:dyDescent="0.25">
      <c r="H161" s="5"/>
    </row>
    <row r="162" spans="8:8" ht="15" x14ac:dyDescent="0.25">
      <c r="H162" s="5"/>
    </row>
    <row r="163" spans="8:8" ht="15" x14ac:dyDescent="0.25">
      <c r="H163" s="5"/>
    </row>
    <row r="164" spans="8:8" ht="15" x14ac:dyDescent="0.25">
      <c r="H164" s="5"/>
    </row>
    <row r="165" spans="8:8" ht="15" x14ac:dyDescent="0.25">
      <c r="H165" s="5"/>
    </row>
    <row r="166" spans="8:8" ht="15" x14ac:dyDescent="0.25">
      <c r="H166" s="5"/>
    </row>
    <row r="167" spans="8:8" ht="15" x14ac:dyDescent="0.25">
      <c r="H167" s="5"/>
    </row>
    <row r="168" spans="8:8" ht="15" x14ac:dyDescent="0.25">
      <c r="H168" s="5"/>
    </row>
    <row r="169" spans="8:8" ht="15" x14ac:dyDescent="0.25">
      <c r="H169" s="5"/>
    </row>
    <row r="170" spans="8:8" ht="15" x14ac:dyDescent="0.25">
      <c r="H170" s="5"/>
    </row>
    <row r="171" spans="8:8" ht="15" x14ac:dyDescent="0.25">
      <c r="H171" s="5"/>
    </row>
    <row r="172" spans="8:8" ht="15" x14ac:dyDescent="0.25">
      <c r="H172" s="5"/>
    </row>
    <row r="173" spans="8:8" ht="15" x14ac:dyDescent="0.25">
      <c r="H173" s="5"/>
    </row>
    <row r="174" spans="8:8" ht="15" x14ac:dyDescent="0.25">
      <c r="H174" s="5"/>
    </row>
    <row r="175" spans="8:8" ht="15" x14ac:dyDescent="0.25">
      <c r="H175" s="5"/>
    </row>
    <row r="176" spans="8:8" ht="15" x14ac:dyDescent="0.25">
      <c r="H176" s="5"/>
    </row>
    <row r="177" spans="8:8" ht="15" x14ac:dyDescent="0.25">
      <c r="H177" s="5"/>
    </row>
    <row r="178" spans="8:8" ht="15" x14ac:dyDescent="0.25">
      <c r="H178" s="5"/>
    </row>
    <row r="179" spans="8:8" ht="15" x14ac:dyDescent="0.25">
      <c r="H179" s="5"/>
    </row>
    <row r="180" spans="8:8" ht="15" x14ac:dyDescent="0.25">
      <c r="H180" s="5"/>
    </row>
    <row r="181" spans="8:8" ht="15" x14ac:dyDescent="0.25">
      <c r="H181" s="5"/>
    </row>
    <row r="182" spans="8:8" ht="15" x14ac:dyDescent="0.25">
      <c r="H182" s="5"/>
    </row>
    <row r="183" spans="8:8" ht="15" x14ac:dyDescent="0.25">
      <c r="H183" s="5"/>
    </row>
    <row r="184" spans="8:8" ht="15" x14ac:dyDescent="0.25">
      <c r="H184" s="5"/>
    </row>
    <row r="185" spans="8:8" ht="15" x14ac:dyDescent="0.25">
      <c r="H185" s="5"/>
    </row>
    <row r="186" spans="8:8" ht="15" x14ac:dyDescent="0.25">
      <c r="H186" s="5"/>
    </row>
    <row r="187" spans="8:8" ht="15" x14ac:dyDescent="0.25">
      <c r="H187" s="5"/>
    </row>
    <row r="188" spans="8:8" ht="15" x14ac:dyDescent="0.25">
      <c r="H188" s="5"/>
    </row>
    <row r="189" spans="8:8" ht="15" x14ac:dyDescent="0.25">
      <c r="H189" s="5"/>
    </row>
    <row r="190" spans="8:8" ht="15" x14ac:dyDescent="0.25">
      <c r="H190" s="5"/>
    </row>
    <row r="191" spans="8:8" ht="15" x14ac:dyDescent="0.25">
      <c r="H191" s="5"/>
    </row>
    <row r="192" spans="8:8" ht="15" x14ac:dyDescent="0.25">
      <c r="H192" s="5"/>
    </row>
    <row r="193" spans="8:8" ht="15" x14ac:dyDescent="0.25">
      <c r="H193" s="5"/>
    </row>
    <row r="194" spans="8:8" ht="15" x14ac:dyDescent="0.25">
      <c r="H194" s="5"/>
    </row>
    <row r="195" spans="8:8" ht="15" x14ac:dyDescent="0.25">
      <c r="H195" s="5"/>
    </row>
    <row r="196" spans="8:8" ht="15" x14ac:dyDescent="0.25">
      <c r="H196" s="5"/>
    </row>
    <row r="197" spans="8:8" ht="15" x14ac:dyDescent="0.25">
      <c r="H197" s="5"/>
    </row>
    <row r="198" spans="8:8" ht="15" x14ac:dyDescent="0.25">
      <c r="H198" s="5"/>
    </row>
    <row r="199" spans="8:8" ht="15" x14ac:dyDescent="0.25">
      <c r="H199" s="5"/>
    </row>
    <row r="200" spans="8:8" ht="15" x14ac:dyDescent="0.25">
      <c r="H200" s="5"/>
    </row>
    <row r="201" spans="8:8" ht="15" x14ac:dyDescent="0.25">
      <c r="H201" s="5"/>
    </row>
    <row r="202" spans="8:8" ht="15" x14ac:dyDescent="0.25">
      <c r="H202" s="5"/>
    </row>
    <row r="203" spans="8:8" ht="15" x14ac:dyDescent="0.25">
      <c r="H203" s="5"/>
    </row>
    <row r="204" spans="8:8" ht="15" x14ac:dyDescent="0.25">
      <c r="H204" s="5"/>
    </row>
    <row r="205" spans="8:8" ht="15" x14ac:dyDescent="0.25">
      <c r="H205" s="5"/>
    </row>
    <row r="206" spans="8:8" ht="15" x14ac:dyDescent="0.25">
      <c r="H206" s="5"/>
    </row>
    <row r="207" spans="8:8" ht="15" x14ac:dyDescent="0.25">
      <c r="H207" s="5"/>
    </row>
    <row r="208" spans="8:8" ht="15" x14ac:dyDescent="0.25">
      <c r="H208" s="5"/>
    </row>
    <row r="209" spans="8:8" ht="15" x14ac:dyDescent="0.25">
      <c r="H209" s="5"/>
    </row>
    <row r="210" spans="8:8" ht="15" x14ac:dyDescent="0.25">
      <c r="H210" s="5"/>
    </row>
    <row r="211" spans="8:8" ht="15" x14ac:dyDescent="0.25">
      <c r="H211" s="5"/>
    </row>
    <row r="212" spans="8:8" ht="15" x14ac:dyDescent="0.25">
      <c r="H212" s="5"/>
    </row>
    <row r="213" spans="8:8" ht="15" x14ac:dyDescent="0.25">
      <c r="H213" s="5"/>
    </row>
    <row r="214" spans="8:8" ht="15" x14ac:dyDescent="0.25">
      <c r="H214" s="5"/>
    </row>
    <row r="215" spans="8:8" ht="15" x14ac:dyDescent="0.25">
      <c r="H215" s="5"/>
    </row>
    <row r="216" spans="8:8" ht="15" x14ac:dyDescent="0.25">
      <c r="H216" s="5"/>
    </row>
    <row r="217" spans="8:8" ht="15" x14ac:dyDescent="0.25">
      <c r="H217" s="5"/>
    </row>
    <row r="218" spans="8:8" ht="15" x14ac:dyDescent="0.25">
      <c r="H218" s="5"/>
    </row>
    <row r="219" spans="8:8" ht="15" x14ac:dyDescent="0.25">
      <c r="H219" s="5"/>
    </row>
    <row r="220" spans="8:8" ht="15" x14ac:dyDescent="0.25">
      <c r="H220" s="5"/>
    </row>
    <row r="221" spans="8:8" ht="15" x14ac:dyDescent="0.25">
      <c r="H221" s="5"/>
    </row>
    <row r="222" spans="8:8" ht="15" x14ac:dyDescent="0.25">
      <c r="H222" s="5"/>
    </row>
    <row r="223" spans="8:8" ht="15" x14ac:dyDescent="0.25">
      <c r="H223" s="5"/>
    </row>
    <row r="224" spans="8:8" ht="15" x14ac:dyDescent="0.25">
      <c r="H224" s="5"/>
    </row>
    <row r="225" spans="8:8" ht="15" x14ac:dyDescent="0.25">
      <c r="H225" s="5"/>
    </row>
    <row r="226" spans="8:8" ht="15" x14ac:dyDescent="0.25">
      <c r="H226" s="5"/>
    </row>
    <row r="227" spans="8:8" ht="15" x14ac:dyDescent="0.25">
      <c r="H227" s="5"/>
    </row>
    <row r="228" spans="8:8" ht="15" x14ac:dyDescent="0.25">
      <c r="H228" s="5"/>
    </row>
    <row r="229" spans="8:8" ht="15" x14ac:dyDescent="0.25">
      <c r="H229" s="5"/>
    </row>
    <row r="230" spans="8:8" ht="15" x14ac:dyDescent="0.25">
      <c r="H230" s="5"/>
    </row>
    <row r="231" spans="8:8" ht="15" x14ac:dyDescent="0.25">
      <c r="H231" s="5"/>
    </row>
    <row r="232" spans="8:8" ht="15" x14ac:dyDescent="0.25">
      <c r="H232" s="5"/>
    </row>
    <row r="233" spans="8:8" ht="15" x14ac:dyDescent="0.25">
      <c r="H233" s="5"/>
    </row>
    <row r="234" spans="8:8" ht="15" x14ac:dyDescent="0.25">
      <c r="H234" s="5"/>
    </row>
    <row r="235" spans="8:8" ht="15" x14ac:dyDescent="0.25">
      <c r="H235" s="5"/>
    </row>
    <row r="236" spans="8:8" ht="15" x14ac:dyDescent="0.25">
      <c r="H236" s="5"/>
    </row>
    <row r="237" spans="8:8" ht="15" x14ac:dyDescent="0.25">
      <c r="H237" s="5"/>
    </row>
    <row r="238" spans="8:8" ht="15" x14ac:dyDescent="0.25">
      <c r="H238" s="5"/>
    </row>
    <row r="239" spans="8:8" ht="15" x14ac:dyDescent="0.25">
      <c r="H239" s="5"/>
    </row>
    <row r="240" spans="8:8" ht="15" x14ac:dyDescent="0.25">
      <c r="H240" s="5"/>
    </row>
    <row r="241" spans="8:8" ht="15" x14ac:dyDescent="0.25">
      <c r="H241" s="5"/>
    </row>
    <row r="242" spans="8:8" ht="15" x14ac:dyDescent="0.25">
      <c r="H242" s="5"/>
    </row>
    <row r="243" spans="8:8" ht="15" x14ac:dyDescent="0.25">
      <c r="H243" s="5"/>
    </row>
    <row r="244" spans="8:8" ht="15" x14ac:dyDescent="0.25">
      <c r="H244" s="5"/>
    </row>
    <row r="245" spans="8:8" ht="15" x14ac:dyDescent="0.25">
      <c r="H245" s="5"/>
    </row>
    <row r="246" spans="8:8" ht="15" x14ac:dyDescent="0.25">
      <c r="H246" s="5"/>
    </row>
    <row r="247" spans="8:8" ht="15" x14ac:dyDescent="0.25">
      <c r="H247" s="5"/>
    </row>
    <row r="248" spans="8:8" ht="15" x14ac:dyDescent="0.25">
      <c r="H248" s="5"/>
    </row>
    <row r="249" spans="8:8" ht="15" x14ac:dyDescent="0.25">
      <c r="H249" s="5"/>
    </row>
    <row r="250" spans="8:8" ht="15" x14ac:dyDescent="0.25">
      <c r="H250" s="5"/>
    </row>
    <row r="251" spans="8:8" ht="15" x14ac:dyDescent="0.25">
      <c r="H251" s="5"/>
    </row>
    <row r="252" spans="8:8" ht="15" x14ac:dyDescent="0.25">
      <c r="H252" s="5"/>
    </row>
    <row r="253" spans="8:8" ht="15" x14ac:dyDescent="0.25">
      <c r="H253" s="5"/>
    </row>
  </sheetData>
  <mergeCells count="93">
    <mergeCell ref="AC69:AG69"/>
    <mergeCell ref="D12:G12"/>
    <mergeCell ref="D13:G13"/>
    <mergeCell ref="D14:G14"/>
    <mergeCell ref="C24:G24"/>
    <mergeCell ref="C38:G38"/>
    <mergeCell ref="C25:G25"/>
    <mergeCell ref="C26:G26"/>
    <mergeCell ref="C28:G28"/>
    <mergeCell ref="C29:G29"/>
    <mergeCell ref="C30:G30"/>
    <mergeCell ref="C31:G31"/>
    <mergeCell ref="C32:G32"/>
    <mergeCell ref="C33:G33"/>
    <mergeCell ref="C34:G34"/>
    <mergeCell ref="C36:G36"/>
    <mergeCell ref="C3:P3"/>
    <mergeCell ref="C6:P6"/>
    <mergeCell ref="C21:G21"/>
    <mergeCell ref="C22:G22"/>
    <mergeCell ref="C23:G23"/>
    <mergeCell ref="C5:P5"/>
    <mergeCell ref="D8:G8"/>
    <mergeCell ref="D10:G10"/>
    <mergeCell ref="D11:G11"/>
    <mergeCell ref="D9:G9"/>
    <mergeCell ref="C37:G37"/>
    <mergeCell ref="C35:G35"/>
    <mergeCell ref="C64:G64"/>
    <mergeCell ref="C39:G39"/>
    <mergeCell ref="C50:G50"/>
    <mergeCell ref="C41:G41"/>
    <mergeCell ref="C42:G42"/>
    <mergeCell ref="C44:G44"/>
    <mergeCell ref="C46:G46"/>
    <mergeCell ref="C51:G51"/>
    <mergeCell ref="C52:G52"/>
    <mergeCell ref="C53:G53"/>
    <mergeCell ref="C61:G61"/>
    <mergeCell ref="C63:G63"/>
    <mergeCell ref="C40:G40"/>
    <mergeCell ref="C55:G55"/>
    <mergeCell ref="C56:G56"/>
    <mergeCell ref="C65:G65"/>
    <mergeCell ref="C66:G66"/>
    <mergeCell ref="C67:G67"/>
    <mergeCell ref="C80:G80"/>
    <mergeCell ref="C62:G62"/>
    <mergeCell ref="C81:G81"/>
    <mergeCell ref="C68:G68"/>
    <mergeCell ref="C69:G69"/>
    <mergeCell ref="C70:G70"/>
    <mergeCell ref="C71:G71"/>
    <mergeCell ref="C78:G78"/>
    <mergeCell ref="C86:G86"/>
    <mergeCell ref="C72:G72"/>
    <mergeCell ref="C73:G73"/>
    <mergeCell ref="J86:O86"/>
    <mergeCell ref="J88:O88"/>
    <mergeCell ref="C74:G74"/>
    <mergeCell ref="C87:G87"/>
    <mergeCell ref="C88:G88"/>
    <mergeCell ref="J84:O84"/>
    <mergeCell ref="C82:G82"/>
    <mergeCell ref="C83:G83"/>
    <mergeCell ref="C84:G84"/>
    <mergeCell ref="J81:O81"/>
    <mergeCell ref="C85:G85"/>
    <mergeCell ref="J79:O79"/>
    <mergeCell ref="C79:G79"/>
    <mergeCell ref="AB3:AI3"/>
    <mergeCell ref="AC7:AG7"/>
    <mergeCell ref="AC8:AG8"/>
    <mergeCell ref="AC10:AG10"/>
    <mergeCell ref="AC11:AG11"/>
    <mergeCell ref="AC12:AG12"/>
    <mergeCell ref="AC21:AG21"/>
    <mergeCell ref="AC13:AG13"/>
    <mergeCell ref="AC19:AG19"/>
    <mergeCell ref="AC20:AG20"/>
    <mergeCell ref="AA53:AB53"/>
    <mergeCell ref="AC23:AG23"/>
    <mergeCell ref="AC24:AG24"/>
    <mergeCell ref="AC25:AG25"/>
    <mergeCell ref="AC26:AG26"/>
    <mergeCell ref="AC27:AG27"/>
    <mergeCell ref="AC33:AG33"/>
    <mergeCell ref="AC34:AG34"/>
    <mergeCell ref="AC28:AG28"/>
    <mergeCell ref="AC29:AG29"/>
    <mergeCell ref="AC30:AG30"/>
    <mergeCell ref="AC31:AG31"/>
    <mergeCell ref="AC32:AG32"/>
  </mergeCells>
  <conditionalFormatting sqref="J81:O81">
    <cfRule type="expression" dxfId="9" priority="12">
      <formula>$H$81&gt;1.5</formula>
    </cfRule>
  </conditionalFormatting>
  <conditionalFormatting sqref="J84:O84">
    <cfRule type="expression" dxfId="8" priority="10">
      <formula>$H$82&gt;$H$84</formula>
    </cfRule>
  </conditionalFormatting>
  <conditionalFormatting sqref="J86:O86">
    <cfRule type="expression" dxfId="7" priority="9">
      <formula>$H$86&gt;$H$85</formula>
    </cfRule>
  </conditionalFormatting>
  <conditionalFormatting sqref="J88:O88">
    <cfRule type="expression" dxfId="6" priority="7">
      <formula>$H$87&gt;$H$88</formula>
    </cfRule>
  </conditionalFormatting>
  <conditionalFormatting sqref="I46">
    <cfRule type="expression" dxfId="5" priority="6">
      <formula>$H$44="Multiple Span"</formula>
    </cfRule>
  </conditionalFormatting>
  <conditionalFormatting sqref="C46:G46">
    <cfRule type="expression" dxfId="4" priority="5">
      <formula>$H$44="Multiple Span"</formula>
    </cfRule>
  </conditionalFormatting>
  <conditionalFormatting sqref="H46">
    <cfRule type="expression" dxfId="3" priority="4">
      <formula>$H$44="Multiple Span"</formula>
    </cfRule>
  </conditionalFormatting>
  <conditionalFormatting sqref="C55:G55">
    <cfRule type="expression" dxfId="2" priority="3">
      <formula>$AE$59=0</formula>
    </cfRule>
  </conditionalFormatting>
  <conditionalFormatting sqref="C56:G56">
    <cfRule type="expression" dxfId="1" priority="2">
      <formula>$AE$59=0</formula>
    </cfRule>
  </conditionalFormatting>
  <conditionalFormatting sqref="J79:O79">
    <cfRule type="expression" dxfId="0" priority="1">
      <formula>$H$78&gt;$H$79</formula>
    </cfRule>
  </conditionalFormatting>
  <dataValidations count="11">
    <dataValidation operator="greaterThan" allowBlank="1" showInputMessage="1" showErrorMessage="1" sqref="H42 H64 H36 H39" xr:uid="{00000000-0002-0000-0300-000000000000}"/>
    <dataValidation type="decimal" operator="greaterThan" allowBlank="1" showInputMessage="1" showErrorMessage="1" error="Positive value only_x000a_" sqref="H61" xr:uid="{00000000-0002-0000-0300-000001000000}">
      <formula1>0</formula1>
    </dataValidation>
    <dataValidation type="decimal" operator="greaterThan" allowBlank="1" showInputMessage="1" showErrorMessage="1" error="Positive value only" sqref="H65 H43 H37" xr:uid="{00000000-0002-0000-0300-000002000000}">
      <formula1>0</formula1>
    </dataValidation>
    <dataValidation operator="equal" allowBlank="1" showInputMessage="1" showErrorMessage="1" sqref="H63 H69:H75" xr:uid="{00000000-0002-0000-0300-000003000000}"/>
    <dataValidation type="decimal" operator="greaterThanOrEqual" allowBlank="1" showInputMessage="1" showErrorMessage="1" error="Positive value only" sqref="H38 H46 H23:H26 H62 H68 H28:H35" xr:uid="{00000000-0002-0000-0300-000004000000}">
      <formula1>0</formula1>
    </dataValidation>
    <dataValidation operator="greaterThanOrEqual" allowBlank="1" showInputMessage="1" showErrorMessage="1" sqref="H50 H66:H67" xr:uid="{00000000-0002-0000-0300-000005000000}"/>
    <dataValidation type="list" allowBlank="1" showInputMessage="1" showErrorMessage="1" sqref="D11:G11" xr:uid="{00000000-0002-0000-0300-000006000000}">
      <formula1>$AC$43:$AC$50</formula1>
    </dataValidation>
    <dataValidation type="list" operator="greaterThanOrEqual" allowBlank="1" showInputMessage="1" showErrorMessage="1" sqref="H40" xr:uid="{00000000-0002-0000-0300-000007000000}">
      <formula1>$AC$60:$AC$64</formula1>
    </dataValidation>
    <dataValidation type="list" operator="greaterThan" allowBlank="1" showInputMessage="1" showErrorMessage="1" promptTitle="Select" sqref="H44" xr:uid="{00000000-0002-0000-0300-000008000000}">
      <formula1>$AC$39:$AC$40</formula1>
    </dataValidation>
    <dataValidation type="list" operator="greaterThan" allowBlank="1" showInputMessage="1" showErrorMessage="1" sqref="H21" xr:uid="{00000000-0002-0000-0300-000009000000}">
      <formula1>$AM$4:$AM$34</formula1>
    </dataValidation>
    <dataValidation type="decimal" allowBlank="1" showInputMessage="1" showErrorMessage="1" error="Value between 0 and depth of cover over culvert &quot;h&quot;" sqref="H41" xr:uid="{00000000-0002-0000-0300-00000A000000}">
      <formula1>0</formula1>
      <formula2>H30</formula2>
    </dataValidation>
  </dataValidations>
  <pageMargins left="0.7" right="0.7" top="0.75" bottom="0.75" header="0.3" footer="0.3"/>
  <pageSetup scale="44" orientation="portrait" r:id="rId1"/>
  <rowBreaks count="1" manualBreakCount="1">
    <brk id="57" min="1" max="16" man="1"/>
  </rowBreaks>
  <drawing r:id="rId2"/>
  <legacyDrawing r:id="rId3"/>
  <controls>
    <mc:AlternateContent xmlns:mc="http://schemas.openxmlformats.org/markup-compatibility/2006">
      <mc:Choice Requires="x14">
        <control shapeId="4098" r:id="rId4" name="CommandButton2">
          <controlPr defaultSize="0" autoLine="0" r:id="rId5">
            <anchor moveWithCells="1">
              <from>
                <xdr:col>6</xdr:col>
                <xdr:colOff>371475</xdr:colOff>
                <xdr:row>15</xdr:row>
                <xdr:rowOff>0</xdr:rowOff>
              </from>
              <to>
                <xdr:col>7</xdr:col>
                <xdr:colOff>9525</xdr:colOff>
                <xdr:row>17</xdr:row>
                <xdr:rowOff>0</xdr:rowOff>
              </to>
            </anchor>
          </controlPr>
        </control>
      </mc:Choice>
      <mc:Fallback>
        <control shapeId="4098" r:id="rId4" name="CommandButton2"/>
      </mc:Fallback>
    </mc:AlternateContent>
    <mc:AlternateContent xmlns:mc="http://schemas.openxmlformats.org/markup-compatibility/2006">
      <mc:Choice Requires="x14">
        <control shapeId="4097" r:id="rId6" name="CommandButton1">
          <controlPr defaultSize="0" autoLine="0" r:id="rId7">
            <anchor moveWithCells="1">
              <from>
                <xdr:col>4</xdr:col>
                <xdr:colOff>9525</xdr:colOff>
                <xdr:row>15</xdr:row>
                <xdr:rowOff>9525</xdr:rowOff>
              </from>
              <to>
                <xdr:col>5</xdr:col>
                <xdr:colOff>342900</xdr:colOff>
                <xdr:row>17</xdr:row>
                <xdr:rowOff>9525</xdr:rowOff>
              </to>
            </anchor>
          </controlPr>
        </control>
      </mc:Choice>
      <mc:Fallback>
        <control shapeId="4097" r:id="rId6"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Circular Pipe - Ciment.</vt:lpstr>
      <vt:lpstr>Arch Pipe - Ciment.</vt:lpstr>
      <vt:lpstr>Circular Pipe - Polym.</vt:lpstr>
      <vt:lpstr>Arch Pipe - Polym.</vt:lpstr>
      <vt:lpstr>'Arch Pipe - Ciment.'!Print_Area</vt:lpstr>
      <vt:lpstr>'Arch Pipe - Polym.'!Print_Area</vt:lpstr>
      <vt:lpstr>'Circular Pipe - Ciment.'!Print_Area</vt:lpstr>
      <vt:lpstr>'Circular Pipe - Polym.'!Print_Area</vt:lpstr>
    </vt:vector>
  </TitlesOfParts>
  <Company>University of Texas at Arlington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Salloum, Charbel</dc:creator>
  <cp:lastModifiedBy>Jacquelin Martindale</cp:lastModifiedBy>
  <cp:lastPrinted>2021-03-08T21:40:05Z</cp:lastPrinted>
  <dcterms:created xsi:type="dcterms:W3CDTF">2021-01-22T22:52:11Z</dcterms:created>
  <dcterms:modified xsi:type="dcterms:W3CDTF">2021-03-23T10:57:21Z</dcterms:modified>
</cp:coreProperties>
</file>