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omments1.xml" ContentType="application/vnd.openxmlformats-officedocument.spreadsheetml.comments+xml"/>
  <Override PartName="/xl/drawings/drawing4.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trlProps/ctrlProp2.xml" ContentType="application/vnd.ms-excel.controlproperties+xml"/>
  <Override PartName="/xl/drawings/drawing7.xml" ContentType="application/vnd.openxmlformats-officedocument.drawing+xml"/>
  <Override PartName="/xl/ctrlProps/ctrlProp3.xml" ContentType="application/vnd.ms-excel.controlproperties+xml"/>
  <Override PartName="/xl/comments4.xml" ContentType="application/vnd.openxmlformats-officedocument.spreadsheetml.comments+xml"/>
  <Override PartName="/xl/drawings/drawing8.xml" ContentType="application/vnd.openxmlformats-officedocument.drawing+xml"/>
  <Override PartName="/xl/ctrlProps/ctrlProp4.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827"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ltrask\Documents\20447 - SPICE\"/>
    </mc:Choice>
  </mc:AlternateContent>
  <xr:revisionPtr revIDLastSave="0" documentId="13_ncr:1_{78F8A57F-AF0A-4F26-8BE6-7DD6F442DE21}" xr6:coauthVersionLast="37" xr6:coauthVersionMax="37" xr10:uidLastSave="{00000000-0000-0000-0000-000000000000}"/>
  <bookViews>
    <workbookView xWindow="0" yWindow="0" windowWidth="23040" windowHeight="9096" tabRatio="885" xr2:uid="{00000000-000D-0000-FFFF-FFFF00000000}"/>
  </bookViews>
  <sheets>
    <sheet name="Introduction" sheetId="1" r:id="rId1"/>
    <sheet name="Disclaimer" sheetId="26" r:id="rId2"/>
    <sheet name="Project Information" sheetId="2" r:id="rId3"/>
    <sheet name="Definitions" sheetId="25" r:id="rId4"/>
    <sheet name="Control Strategy Selection" sheetId="14" r:id="rId5"/>
    <sheet name="At-Grade Inputs" sheetId="19" r:id="rId6"/>
    <sheet name="Ramp-Terminal Inputs" sheetId="4" state="hidden" r:id="rId7"/>
    <sheet name="RTI_Ranges" sheetId="23" state="hidden" r:id="rId8"/>
    <sheet name="ExistingData" sheetId="22" state="hidden" r:id="rId9"/>
    <sheet name="Calibration" sheetId="5" r:id="rId10"/>
    <sheet name="Results" sheetId="6" r:id="rId11"/>
    <sheet name="ResultsRTI" sheetId="24" state="hidden" r:id="rId12"/>
    <sheet name="Notes" sheetId="12" r:id="rId13"/>
    <sheet name="User Selections" sheetId="17" r:id="rId14"/>
    <sheet name="Labels" sheetId="18" r:id="rId15"/>
    <sheet name="CalibrationDefaults" sheetId="21" state="hidden" r:id="rId16"/>
  </sheets>
  <functionGroups builtInGroupCount="19"/>
  <definedNames>
    <definedName name="City">'Project Information'!$E$8</definedName>
    <definedName name="Date">'Project Information'!$E$10</definedName>
    <definedName name="FacilityType_Label_Rural2Ln">Labels!$A$34</definedName>
    <definedName name="FacilityType_Label_RuralMultiLn">Labels!$A$35</definedName>
    <definedName name="FacilityType_Label_Urban">Labels!$A$36</definedName>
    <definedName name="FacilityType_Label_UrbanHighSpeed">Labels!$A$37</definedName>
    <definedName name="Input_1Way2Way">'Control Strategy Selection'!$D$10</definedName>
    <definedName name="Input_AGI_HasSchool">'At-Grade Inputs'!$D$32</definedName>
    <definedName name="Input_AGI_Lighting">'At-Grade Inputs'!$D$18</definedName>
    <definedName name="Input_AGI_NumABC">'At-Grade Inputs'!$D$33</definedName>
    <definedName name="Input_AGI_NumBusStops">'At-Grade Inputs'!$D$31</definedName>
    <definedName name="Input_AGI_R1_AADT_L1">'At-Grade Inputs'!$L$37</definedName>
    <definedName name="Input_AGI_R1_AADT_L2">'At-Grade Inputs'!$L$44</definedName>
    <definedName name="Input_AGI_R1_AADT_L3">'At-Grade Inputs'!$L$51</definedName>
    <definedName name="Input_AGI_R1_AADT_L4">'At-Grade Inputs'!$L$58</definedName>
    <definedName name="Input_AGI_R1_Access_L1">'At-Grade Inputs'!$L$39</definedName>
    <definedName name="Input_AGI_R1_Access_L2">'At-Grade Inputs'!$L$46</definedName>
    <definedName name="Input_AGI_R1_Access_L3">'At-Grade Inputs'!$L$53</definedName>
    <definedName name="Input_AGI_R1_Access_L4">'At-Grade Inputs'!$L$60</definedName>
    <definedName name="Input_AGI_R1_Bypass_L1">'At-Grade Inputs'!$L$38</definedName>
    <definedName name="Input_AGI_R1_Bypass_L2">'At-Grade Inputs'!$L$45</definedName>
    <definedName name="Input_AGI_R1_Bypass_L3">'At-Grade Inputs'!$L$52</definedName>
    <definedName name="Input_AGI_R1_Bypass_L4">'At-Grade Inputs'!$L$59</definedName>
    <definedName name="Input_AGI_R1_CL_L1">'At-Grade Inputs'!$L$42</definedName>
    <definedName name="Input_AGI_R1_CL_L2">'At-Grade Inputs'!$L$49</definedName>
    <definedName name="Input_AGI_R1_CL_L3">'At-Grade Inputs'!$L$56</definedName>
    <definedName name="Input_AGI_R1_CL_L4">'At-Grade Inputs'!$L$63</definedName>
    <definedName name="Input_AGI_R1_EL_L1">'At-Grade Inputs'!$L$41</definedName>
    <definedName name="Input_AGI_R1_EL_L2">'At-Grade Inputs'!$L$48</definedName>
    <definedName name="Input_AGI_R1_EL_L3">'At-Grade Inputs'!$L$55</definedName>
    <definedName name="Input_AGI_R1_EL_L4">'At-Grade Inputs'!$L$62</definedName>
    <definedName name="Input_AGI_R1_EW_L1">'At-Grade Inputs'!$L$40</definedName>
    <definedName name="Input_AGI_R1_EW_L2">'At-Grade Inputs'!$L$47</definedName>
    <definedName name="Input_AGI_R1_EW_L3">'At-Grade Inputs'!$L$54</definedName>
    <definedName name="Input_AGI_R1_EW_L4">'At-Grade Inputs'!$L$61</definedName>
    <definedName name="Input_AGI_R1_ICD">'At-Grade Inputs'!$L$35</definedName>
    <definedName name="Input_AGI_R2_AADT_L1">'At-Grade Inputs'!$N$37</definedName>
    <definedName name="Input_AGI_R2_AADT_L2">'At-Grade Inputs'!$N$44</definedName>
    <definedName name="Input_AGI_R2_AADT_L3">'At-Grade Inputs'!$N$51</definedName>
    <definedName name="Input_AGI_R2_AADT_L4">'At-Grade Inputs'!$N$58</definedName>
    <definedName name="Input_AGI_R2_Access_L1">'At-Grade Inputs'!$N$39</definedName>
    <definedName name="Input_AGI_R2_Access_L2">'At-Grade Inputs'!$N$46</definedName>
    <definedName name="Input_AGI_R2_Access_L3">'At-Grade Inputs'!$N$53</definedName>
    <definedName name="Input_AGI_R2_Access_L4">'At-Grade Inputs'!$N$60</definedName>
    <definedName name="Input_AGI_R2_Bypass_L1">'At-Grade Inputs'!$N$38</definedName>
    <definedName name="Input_AGI_R2_Bypass_L2">'At-Grade Inputs'!$N$45</definedName>
    <definedName name="Input_AGI_R2_Bypass_L3">'At-Grade Inputs'!$N$52</definedName>
    <definedName name="Input_AGI_R2_Bypass_L4">'At-Grade Inputs'!$N$59</definedName>
    <definedName name="Input_AGI_R2_CL_L1">'At-Grade Inputs'!$N$42</definedName>
    <definedName name="Input_AGI_R2_CL_L2">'At-Grade Inputs'!$N$49</definedName>
    <definedName name="Input_AGI_R2_CL_L3">'At-Grade Inputs'!$N$56</definedName>
    <definedName name="Input_AGI_R2_CL_L4">'At-Grade Inputs'!$N$63</definedName>
    <definedName name="Input_AGI_R2_EL_L1">'At-Grade Inputs'!$N$41</definedName>
    <definedName name="Input_AGI_R2_EL_L2">'At-Grade Inputs'!$N$48</definedName>
    <definedName name="Input_AGI_R2_EL_L3">'At-Grade Inputs'!$N$55</definedName>
    <definedName name="Input_AGI_R2_EL_L4">'At-Grade Inputs'!$N$62</definedName>
    <definedName name="Input_AGI_R2_EW_L1">'At-Grade Inputs'!$N$40</definedName>
    <definedName name="Input_AGI_R2_EW_L2">'At-Grade Inputs'!$N$47</definedName>
    <definedName name="Input_AGI_R2_EW_L3">'At-Grade Inputs'!$N$54</definedName>
    <definedName name="Input_AGI_R2_EW_L4">'At-Grade Inputs'!$N$61</definedName>
    <definedName name="Input_AGI_R2_ICD">'At-Grade Inputs'!$N$35</definedName>
    <definedName name="Input_AGI_SkewAngle">'At-Grade Inputs'!$H$17</definedName>
    <definedName name="Input_AllStop_Lighting">'At-Grade Inputs'!$J$18</definedName>
    <definedName name="Input_AllStop_NumAppWithLTLns">'At-Grade Inputs'!$J$11</definedName>
    <definedName name="Input_AllStop_NumAppWithRTLns">'At-Grade Inputs'!$J$12</definedName>
    <definedName name="Input_AnalysisYearType">'Control Strategy Selection'!$D$4</definedName>
    <definedName name="Input_Base_DAADTMajor">'Control Strategy Selection'!$D$15</definedName>
    <definedName name="Input_Base_DAADTMinor">'Control Strategy Selection'!$D$16</definedName>
    <definedName name="Input_Base_OAADTMajor">'Control Strategy Selection'!$D$13</definedName>
    <definedName name="Input_Base_OAADTMinor">'Control Strategy Selection'!$D$14</definedName>
    <definedName name="Input_CMF_DDI_FI">Calibration!$I$73</definedName>
    <definedName name="Input_CMF_DDI_Total">Calibration!$I$72</definedName>
    <definedName name="Input_CMF_DLT_FI">Calibration!$I$57</definedName>
    <definedName name="Input_CMF_DLT_Total">Calibration!$I$56</definedName>
    <definedName name="Input_CMF_GreenT_FI">Calibration!$I$65</definedName>
    <definedName name="Input_CMF_GreenT_Total">Calibration!$I$64</definedName>
    <definedName name="Input_CMF_Jughandle_FI">Calibration!$I$67</definedName>
    <definedName name="Input_CMF_Jughandle_Total">Calibration!$I$66</definedName>
    <definedName name="Input_CMF_MUT_FI">Calibration!$I$59</definedName>
    <definedName name="Input_CMF_MUT_Total">Calibration!$I$58</definedName>
    <definedName name="Input_CMF_Other1_FI">Calibration!$I$69</definedName>
    <definedName name="Input_CMF_Other1_Total">Calibration!$I$68</definedName>
    <definedName name="Input_CMF_Other2_FI">Calibration!$I$71</definedName>
    <definedName name="Input_CMF_Other2_Total">Calibration!$I$70</definedName>
    <definedName name="Input_CMF_RCUTSig_FI">Calibration!$I$61</definedName>
    <definedName name="Input_CMF_RCUTSig_Total">Calibration!$I$60</definedName>
    <definedName name="Input_CMF_RCUTUnsig_FI">Calibration!$I$63</definedName>
    <definedName name="Input_CMF_RCUTUnsig_Total">Calibration!$I$62</definedName>
    <definedName name="Input_D4MS_DAADTEn1">'Ramp-Terminal Inputs'!$F$13</definedName>
    <definedName name="Input_D4MS_DAADTEn2">'Ramp-Terminal Inputs'!$G$13</definedName>
    <definedName name="Input_D4MS_DAADTEx1">'Ramp-Terminal Inputs'!$F$12</definedName>
    <definedName name="Input_D4MS_DAADTEx2">'Ramp-Terminal Inputs'!$G$12</definedName>
    <definedName name="Input_D4MS_DAADTIn1">'Ramp-Terminal Inputs'!$F$10</definedName>
    <definedName name="Input_D4MS_DAADTIn2">'Ramp-Terminal Inputs'!$G$10</definedName>
    <definedName name="Input_D4MS_DAADTOut1">'Ramp-Terminal Inputs'!$F$11</definedName>
    <definedName name="Input_D4MS_DAADTOut2">'Ramp-Terminal Inputs'!$G$11</definedName>
    <definedName name="Input_D4MS_ENLSR1">'Ramp-Terminal Inputs'!$F$28</definedName>
    <definedName name="Input_D4MS_ENLSR2">'Ramp-Terminal Inputs'!$G$28</definedName>
    <definedName name="Input_D4MS_ExitRTC1">'Ramp-Terminal Inputs'!$F$27</definedName>
    <definedName name="Input_D4MS_ExitRTC2">'Ramp-Terminal Inputs'!$G$27</definedName>
    <definedName name="Input_D4MS_lRMP1">'Ramp-Terminal Inputs'!$F$30</definedName>
    <definedName name="Input_D4MS_lRMP2">'Ramp-Terminal Inputs'!$G$30</definedName>
    <definedName name="Input_D4MS_lSTR1">'Ramp-Terminal Inputs'!$F$31</definedName>
    <definedName name="Input_D4MS_lSTR2">'Ramp-Terminal Inputs'!$G$31</definedName>
    <definedName name="Input_D4MS_LTBIn1">'Ramp-Terminal Inputs'!$F$36</definedName>
    <definedName name="Input_D4MS_LTBIn2">'Ramp-Terminal Inputs'!$G$36</definedName>
    <definedName name="Input_D4MS_LTBOut1">'Ramp-Terminal Inputs'!$F$38</definedName>
    <definedName name="Input_D4MS_LTBOut2">'Ramp-Terminal Inputs'!$G$38</definedName>
    <definedName name="Input_D4MS_LTWIn1">'Ramp-Terminal Inputs'!$F$37</definedName>
    <definedName name="Input_D4MS_LTWIn2">'Ramp-Terminal Inputs'!$G$37</definedName>
    <definedName name="Input_D4MS_LTWOut1">'Ramp-Terminal Inputs'!$F$39</definedName>
    <definedName name="Input_D4MS_LTWOut2">'Ramp-Terminal Inputs'!$G$39</definedName>
    <definedName name="Input_D4MS_MW1">'Ramp-Terminal Inputs'!$F$33</definedName>
    <definedName name="Input_D4MS_MW2">'Ramp-Terminal Inputs'!$G$33</definedName>
    <definedName name="Input_D4MS_NLxst1">'Ramp-Terminal Inputs'!$F$15</definedName>
    <definedName name="Input_D4MS_NLxst2">'Ramp-Terminal Inputs'!$G$15</definedName>
    <definedName name="Input_D4MS_NSCPS1">'Ramp-Terminal Inputs'!$F$32</definedName>
    <definedName name="Input_D4MS_NSCPS2">'Ramp-Terminal Inputs'!$G$32</definedName>
    <definedName name="Input_D4MS_OAADTEn1">'Ramp-Terminal Inputs'!$F$9</definedName>
    <definedName name="Input_D4MS_OAADTEn2">'Ramp-Terminal Inputs'!$G$9</definedName>
    <definedName name="Input_D4MS_OAADTEx1">'Ramp-Terminal Inputs'!$F$8</definedName>
    <definedName name="Input_D4MS_OAADTEx2">'Ramp-Terminal Inputs'!$G$8</definedName>
    <definedName name="Input_D4MS_OAADTIn1">'Ramp-Terminal Inputs'!$F$6</definedName>
    <definedName name="Input_D4MS_OAADTIn2">'Ramp-Terminal Inputs'!$G$6</definedName>
    <definedName name="Input_D4MS_OAADTOut1">'Ramp-Terminal Inputs'!$F$7</definedName>
    <definedName name="Input_D4MS_OAADTOut2">'Ramp-Terminal Inputs'!$G$7</definedName>
    <definedName name="Input_D4MS_RTBIn1">'Ramp-Terminal Inputs'!$F$34</definedName>
    <definedName name="Input_D4MS_RTBIn2">'Ramp-Terminal Inputs'!$G$34</definedName>
    <definedName name="Input_D4MS_RTBOut1">'Ramp-Terminal Inputs'!$F$35</definedName>
    <definedName name="Input_D4MS_RTBOut2">'Ramp-Terminal Inputs'!$G$35</definedName>
    <definedName name="Input_D4MS_Skew1">'Ramp-Terminal Inputs'!$F$25</definedName>
    <definedName name="Input_D4MS_Skew2">'Ramp-Terminal Inputs'!$G$25</definedName>
    <definedName name="Input_D4TS_DAADTEn1">'Ramp-Terminal Inputs'!$B$13</definedName>
    <definedName name="Input_D4TS_DAADTEn2">'Ramp-Terminal Inputs'!$C$13</definedName>
    <definedName name="Input_D4TS_DAADTEx1">'Ramp-Terminal Inputs'!$B$12</definedName>
    <definedName name="Input_D4TS_DAADTEx2">'Ramp-Terminal Inputs'!$C$12</definedName>
    <definedName name="Input_D4TS_DAADTIn1">'Ramp-Terminal Inputs'!$B$10</definedName>
    <definedName name="Input_D4TS_DAADTIn2">'Ramp-Terminal Inputs'!$C$10</definedName>
    <definedName name="Input_D4TS_DAADTOut1">'Ramp-Terminal Inputs'!$B$11</definedName>
    <definedName name="Input_D4TS_DAADTOut2">'Ramp-Terminal Inputs'!$C$11</definedName>
    <definedName name="Input_D4TS_ENLSR1">'Ramp-Terminal Inputs'!$B$28</definedName>
    <definedName name="Input_D4TS_ENLSR2">'Ramp-Terminal Inputs'!$C$28</definedName>
    <definedName name="Input_D4TS_ExitRTC1">'Ramp-Terminal Inputs'!$B$27</definedName>
    <definedName name="Input_D4TS_ExitRTC2">'Ramp-Terminal Inputs'!$C$27</definedName>
    <definedName name="Input_D4TS_lRMP1">'Ramp-Terminal Inputs'!$B$30</definedName>
    <definedName name="Input_D4TS_lRMP2">'Ramp-Terminal Inputs'!$C$30</definedName>
    <definedName name="Input_D4TS_lSTR1">'Ramp-Terminal Inputs'!$B$31</definedName>
    <definedName name="Input_D4TS_lSTR2">'Ramp-Terminal Inputs'!$C$31</definedName>
    <definedName name="Input_D4TS_LTBIn1">'Ramp-Terminal Inputs'!$B$36</definedName>
    <definedName name="Input_D4TS_LTBIn2">'Ramp-Terminal Inputs'!$C$36</definedName>
    <definedName name="Input_D4TS_LTBOut1">'Ramp-Terminal Inputs'!$B$38</definedName>
    <definedName name="Input_D4TS_LTBOut2">'Ramp-Terminal Inputs'!$C$38</definedName>
    <definedName name="Input_D4TS_LTWIn1">'Ramp-Terminal Inputs'!$B$37</definedName>
    <definedName name="Input_D4TS_LTWIn2">'Ramp-Terminal Inputs'!$C$37</definedName>
    <definedName name="Input_D4TS_LTWOut1">'Ramp-Terminal Inputs'!$B$39</definedName>
    <definedName name="Input_D4TS_LTWOut2">'Ramp-Terminal Inputs'!$C$39</definedName>
    <definedName name="Input_D4TS_MW1">'Ramp-Terminal Inputs'!$B$33</definedName>
    <definedName name="Input_D4TS_MW2">'Ramp-Terminal Inputs'!$C$33</definedName>
    <definedName name="Input_D4TS_NLTOIn1">'Ramp-Terminal Inputs'!$B$16</definedName>
    <definedName name="Input_D4TS_NLTOIn2">'Ramp-Terminal Inputs'!$C$16</definedName>
    <definedName name="Input_D4TS_NLTOOut1">'Ramp-Terminal Inputs'!$B$17</definedName>
    <definedName name="Input_D4TS_NLTOOut2">'Ramp-Terminal Inputs'!$C$17</definedName>
    <definedName name="Input_D4TS_NLxst1">'Ramp-Terminal Inputs'!$B$15</definedName>
    <definedName name="Input_D4TS_NLxst2">'Ramp-Terminal Inputs'!$C$15</definedName>
    <definedName name="Input_D4TS_NRPSL1">'Ramp-Terminal Inputs'!$B$26</definedName>
    <definedName name="Input_D4TS_NRPSL2">'Ramp-Terminal Inputs'!$C$26</definedName>
    <definedName name="Input_D4TS_NSCDW1">'Ramp-Terminal Inputs'!$B$29</definedName>
    <definedName name="Input_D4TS_NSCDW2">'Ramp-Terminal Inputs'!$C$29</definedName>
    <definedName name="Input_D4TS_NSCPS1">'Ramp-Terminal Inputs'!$B$32</definedName>
    <definedName name="Input_D4TS_NSCPS2">'Ramp-Terminal Inputs'!$C$32</definedName>
    <definedName name="Input_D4TS_OAADTEn1">'Ramp-Terminal Inputs'!$B$9</definedName>
    <definedName name="Input_D4TS_OAADTEn2">'Ramp-Terminal Inputs'!$C$9</definedName>
    <definedName name="Input_D4TS_OAADTEx1">'Ramp-Terminal Inputs'!$B$8</definedName>
    <definedName name="Input_D4TS_OAADTEx2">'Ramp-Terminal Inputs'!$C$8</definedName>
    <definedName name="Input_D4TS_OAADTIn1">'Ramp-Terminal Inputs'!$B$6</definedName>
    <definedName name="Input_D4TS_OAADTIn2">'Ramp-Terminal Inputs'!$C$6</definedName>
    <definedName name="Input_D4TS_OAADTOut1">'Ramp-Terminal Inputs'!$B$7</definedName>
    <definedName name="Input_D4TS_OAADTOut2">'Ramp-Terminal Inputs'!$C$7</definedName>
    <definedName name="Input_D4TS_PLTOIn1">'Ramp-Terminal Inputs'!$B$40</definedName>
    <definedName name="Input_D4TS_PLTOIn2">'Ramp-Terminal Inputs'!$C$40</definedName>
    <definedName name="Input_D4TS_PLTOOut1">'Ramp-Terminal Inputs'!$B$41</definedName>
    <definedName name="Input_D4TS_PLTOOut2">'Ramp-Terminal Inputs'!$C$41</definedName>
    <definedName name="Input_D4TS_RTBIn1">'Ramp-Terminal Inputs'!$B$34</definedName>
    <definedName name="Input_D4TS_RTBIn2">'Ramp-Terminal Inputs'!$C$34</definedName>
    <definedName name="Input_D4TS_RTBOut1">'Ramp-Terminal Inputs'!$B$35</definedName>
    <definedName name="Input_D4TS_RTBOut2">'Ramp-Terminal Inputs'!$C$35</definedName>
    <definedName name="Input_D4TS_RTCExit1">'Ramp-Terminal Inputs'!$B$44</definedName>
    <definedName name="Input_D4TS_RTCExit2">'Ramp-Terminal Inputs'!$C$44</definedName>
    <definedName name="Input_D4TS_RTCIn1">'Ramp-Terminal Inputs'!$B$42</definedName>
    <definedName name="Input_D4TS_RTCIn2">'Ramp-Terminal Inputs'!$C$42</definedName>
    <definedName name="Input_D4TS_RTCOut1">'Ramp-Terminal Inputs'!$B$43</definedName>
    <definedName name="Input_D4TS_RTCOut2">'Ramp-Terminal Inputs'!$C$43</definedName>
    <definedName name="Input_D4TSA_DAADTEn1">'Ramp-Terminal Inputs'!$D$13</definedName>
    <definedName name="Input_D4TSA_DAADTEn2">'Ramp-Terminal Inputs'!$E$13</definedName>
    <definedName name="Input_D4TSA_DAADTEx1">'Ramp-Terminal Inputs'!$D$12</definedName>
    <definedName name="Input_D4TSA_DAADTEx2">'Ramp-Terminal Inputs'!$E$12</definedName>
    <definedName name="Input_D4TSA_DAADTIn1">'Ramp-Terminal Inputs'!$D$10</definedName>
    <definedName name="Input_D4TSA_DAADTIn2">'Ramp-Terminal Inputs'!$E$10</definedName>
    <definedName name="Input_D4TSA_DAADTOut1">'Ramp-Terminal Inputs'!$D$11</definedName>
    <definedName name="Input_D4TSA_DAADTOut2">'Ramp-Terminal Inputs'!$E$11</definedName>
    <definedName name="Input_D4TSA_ENLSR1">'Ramp-Terminal Inputs'!$D$28</definedName>
    <definedName name="Input_D4TSA_ENLSR2">'Ramp-Terminal Inputs'!$E$28</definedName>
    <definedName name="Input_D4TSA_ExitRTC1">'Ramp-Terminal Inputs'!$D$27</definedName>
    <definedName name="Input_D4TSA_ExitRTC2">'Ramp-Terminal Inputs'!$E$27</definedName>
    <definedName name="Input_D4TSA_lRMP1">'Ramp-Terminal Inputs'!$D$30</definedName>
    <definedName name="Input_D4TSA_lRMP2">'Ramp-Terminal Inputs'!$E$30</definedName>
    <definedName name="Input_D4TSA_lSTR1">'Ramp-Terminal Inputs'!$D$31</definedName>
    <definedName name="Input_D4TSA_lSTR2">'Ramp-Terminal Inputs'!$E$31</definedName>
    <definedName name="Input_D4TSA_LTBIn1">'Ramp-Terminal Inputs'!$D$36</definedName>
    <definedName name="Input_D4TSA_LTBIn2">'Ramp-Terminal Inputs'!$E$36</definedName>
    <definedName name="Input_D4TSA_LTBOut1">'Ramp-Terminal Inputs'!$D$38</definedName>
    <definedName name="Input_D4TSA_LTBOut2">'Ramp-Terminal Inputs'!$E$38</definedName>
    <definedName name="Input_D4TSA_LTWIn1">'Ramp-Terminal Inputs'!$D$37</definedName>
    <definedName name="Input_D4TSA_LTWIn2">'Ramp-Terminal Inputs'!$E$37</definedName>
    <definedName name="Input_D4TSA_LTWOut1">'Ramp-Terminal Inputs'!$D$39</definedName>
    <definedName name="Input_D4TSA_LTWOut2">'Ramp-Terminal Inputs'!$E$39</definedName>
    <definedName name="Input_D4TSA_MW1">'Ramp-Terminal Inputs'!$D$33</definedName>
    <definedName name="Input_D4TSA_MW2">'Ramp-Terminal Inputs'!$E$33</definedName>
    <definedName name="Input_D4TSA_NLTOIn1">'Ramp-Terminal Inputs'!$D$16</definedName>
    <definedName name="Input_D4TSA_NLTOIn2">'Ramp-Terminal Inputs'!$E$16</definedName>
    <definedName name="Input_D4TSA_NLTOOut1">'Ramp-Terminal Inputs'!$D$17</definedName>
    <definedName name="Input_D4TSA_NLTOOut2">'Ramp-Terminal Inputs'!$E$17</definedName>
    <definedName name="Input_D4TSA_NLxst1">'Ramp-Terminal Inputs'!$D$15</definedName>
    <definedName name="Input_D4TSA_NLxst2">'Ramp-Terminal Inputs'!$E$15</definedName>
    <definedName name="Input_D4TSA_NRPSL1">'Ramp-Terminal Inputs'!$D$26</definedName>
    <definedName name="Input_D4TSA_NRPSL2">'Ramp-Terminal Inputs'!$E$26</definedName>
    <definedName name="Input_D4TSA_NSCDW1">'Ramp-Terminal Inputs'!$D$29</definedName>
    <definedName name="Input_D4TSA_NSCDW2">'Ramp-Terminal Inputs'!$E$29</definedName>
    <definedName name="Input_D4TSA_NSCPS1">'Ramp-Terminal Inputs'!$D$32</definedName>
    <definedName name="Input_D4TSA_NSCPS2">'Ramp-Terminal Inputs'!$E$32</definedName>
    <definedName name="Input_D4TSA_OAADTEn1">'Ramp-Terminal Inputs'!$D$9</definedName>
    <definedName name="Input_D4TSA_OAADTEn2">'Ramp-Terminal Inputs'!$E$9</definedName>
    <definedName name="Input_D4TSA_OAADTEx1">'Ramp-Terminal Inputs'!$D$8</definedName>
    <definedName name="Input_D4TSA_OAADTEx2">'Ramp-Terminal Inputs'!$E$8</definedName>
    <definedName name="Input_D4TSA_OAADTIn1">'Ramp-Terminal Inputs'!$D$6</definedName>
    <definedName name="Input_D4TSA_OAADTIn2">'Ramp-Terminal Inputs'!$E$6</definedName>
    <definedName name="Input_D4TSA_OAADTOut1">'Ramp-Terminal Inputs'!$D$7</definedName>
    <definedName name="Input_D4TSA_OAADTOut2">'Ramp-Terminal Inputs'!$E$7</definedName>
    <definedName name="Input_D4TSA_PLTOIn1">'Ramp-Terminal Inputs'!$D$40</definedName>
    <definedName name="Input_D4TSA_PLTOIn2">'Ramp-Terminal Inputs'!$E$40</definedName>
    <definedName name="Input_D4TSA_PLTOOut1">'Ramp-Terminal Inputs'!$D$41</definedName>
    <definedName name="Input_D4TSA_PLTOOut2">'Ramp-Terminal Inputs'!$E$41</definedName>
    <definedName name="Input_D4TSA_RTBIn1">'Ramp-Terminal Inputs'!$D$34</definedName>
    <definedName name="Input_D4TSA_RTBIn2">'Ramp-Terminal Inputs'!$E$34</definedName>
    <definedName name="Input_D4TSA_RTBOut1">'Ramp-Terminal Inputs'!$D$35</definedName>
    <definedName name="Input_D4TSA_RTBOut2">'Ramp-Terminal Inputs'!$E$35</definedName>
    <definedName name="Input_D4TSA_RTCExit1">'Ramp-Terminal Inputs'!$D$44</definedName>
    <definedName name="Input_D4TSA_RTCExit2">'Ramp-Terminal Inputs'!$E$44</definedName>
    <definedName name="Input_D4TSA_RTCIn1">'Ramp-Terminal Inputs'!$D$42</definedName>
    <definedName name="Input_D4TSA_RTCIn2">'Ramp-Terminal Inputs'!$E$42</definedName>
    <definedName name="Input_D4TSA_RTCOut1">'Ramp-Terminal Inputs'!$D$43</definedName>
    <definedName name="Input_D4TSA_RTCOut2">'Ramp-Terminal Inputs'!$E$43</definedName>
    <definedName name="Input_DesignYear">'Control Strategy Selection'!$D$6</definedName>
    <definedName name="Input_FacilitySubType">'Control Strategy Selection'!$D$8</definedName>
    <definedName name="Input_FacilityType">'Control Strategy Selection'!$D$7</definedName>
    <definedName name="Input_Include_AS">'Control Strategy Selection'!$B$22</definedName>
    <definedName name="Input_Include_CGT">'Control Strategy Selection'!$B$29</definedName>
    <definedName name="Input_Include_DLT">'Control Strategy Selection'!$B$25</definedName>
    <definedName name="Input_Include_JUG">'Control Strategy Selection'!$B$30</definedName>
    <definedName name="Input_Include_MS">'Control Strategy Selection'!$B$21</definedName>
    <definedName name="Input_Include_MUT">'Control Strategy Selection'!$B$26</definedName>
    <definedName name="Input_Include_O1">'Control Strategy Selection'!$B$31</definedName>
    <definedName name="Input_Include_O2">'Control Strategy Selection'!$B$32</definedName>
    <definedName name="Input_Include_R1">'Control Strategy Selection'!$B$23</definedName>
    <definedName name="Input_Include_R2">'Control Strategy Selection'!$B$24</definedName>
    <definedName name="Input_Include_RTI_D4MS">'Control Strategy Selection'!$B$65</definedName>
    <definedName name="Input_Include_RTI_D4TS">'Control Strategy Selection'!$B$61</definedName>
    <definedName name="Input_Include_RTI_D4TSA">'Control Strategy Selection'!$B$62</definedName>
    <definedName name="Input_Include_RTI_DDI">'Control Strategy Selection'!$B$63</definedName>
    <definedName name="Input_Include_RTI_O1">'Control Strategy Selection'!$B$68</definedName>
    <definedName name="Input_Include_RTI_O2">'Control Strategy Selection'!$B$69</definedName>
    <definedName name="Input_Include_RTI_R1">'Control Strategy Selection'!$B$66</definedName>
    <definedName name="Input_Include_RTI_R2">'Control Strategy Selection'!$B$67</definedName>
    <definedName name="Input_Include_RTI_SPUI">'Control Strategy Selection'!$B$64</definedName>
    <definedName name="Input_Include_SRCUT">'Control Strategy Selection'!$B$27</definedName>
    <definedName name="Input_Include_TS">'Control Strategy Selection'!$B$19</definedName>
    <definedName name="Input_Include_TSA">'Control Strategy Selection'!$B$20</definedName>
    <definedName name="Input_Include_URCUT">'Control Strategy Selection'!$B$28</definedName>
    <definedName name="Input_MajorApproachSpeed">'Control Strategy Selection'!$D$12</definedName>
    <definedName name="Input_MinorStop_DAADTMajor">'At-Grade Inputs'!$H$9</definedName>
    <definedName name="Input_MinorStop_DAADTMinor">'At-Grade Inputs'!$H$10</definedName>
    <definedName name="Input_MinorStop_Lighting">'At-Grade Inputs'!$H$18</definedName>
    <definedName name="Input_MinorStop_NumAppWithLTLns">'At-Grade Inputs'!$H$13</definedName>
    <definedName name="Input_MinorStop_NumAppWithRTLns">'At-Grade Inputs'!$H$14</definedName>
    <definedName name="Input_MinorStop_OAADTMajor">'At-Grade Inputs'!$H$7</definedName>
    <definedName name="Input_MinorStop_OAADTMinor">'At-Grade Inputs'!$H$8</definedName>
    <definedName name="Input_NumLegs">'Control Strategy Selection'!$D$9</definedName>
    <definedName name="Input_NumMajorLanes">'Control Strategy Selection'!$D$11</definedName>
    <definedName name="Input_OpenYear">'Control Strategy Selection'!$D$5</definedName>
    <definedName name="Input_Other1_BaseIntx">'Control Strategy Selection'!$D$31</definedName>
    <definedName name="Input_Other2_BaseIntx">'Control Strategy Selection'!$D$32</definedName>
    <definedName name="Input_Range_AGI_AllOverride_DesignAADT">'At-Grade Inputs'!$D$9:$I$10</definedName>
    <definedName name="Input_Range_AGI_AllOverride_OpenAADT">'At-Grade Inputs'!$D$7:$I$8</definedName>
    <definedName name="Input_Range_AGI_Base_DesignAADT">'Control Strategy Selection'!$D$15:$D$16</definedName>
    <definedName name="Input_Range_AGI_Base_OpenAADT">'Control Strategy Selection'!$D$13:$D$14</definedName>
    <definedName name="Input_RTI_AreaType">'Control Strategy Selection'!$D$45</definedName>
    <definedName name="Input_RTI_DAADTEn1">'Control Strategy Selection'!$D$56</definedName>
    <definedName name="Input_RTI_DAADTEn2">'Control Strategy Selection'!$E$56</definedName>
    <definedName name="Input_RTI_DAADTEx1">'Control Strategy Selection'!$D$55</definedName>
    <definedName name="Input_RTI_DAADTEx2">'Control Strategy Selection'!$E$55</definedName>
    <definedName name="Input_RTI_DAADTIn1">'Control Strategy Selection'!$D$53</definedName>
    <definedName name="Input_RTI_DAADTIn2">'Control Strategy Selection'!$E$53</definedName>
    <definedName name="Input_RTI_DAADTOut1">'Control Strategy Selection'!$D$54</definedName>
    <definedName name="Input_RTI_DAADTOut2">'Control Strategy Selection'!$E$54</definedName>
    <definedName name="Input_RTI_OAADTEn1">'Control Strategy Selection'!$D$51</definedName>
    <definedName name="Input_RTI_OAADTEn2">'Control Strategy Selection'!$E$51</definedName>
    <definedName name="Input_RTI_OAADTEx1">'Control Strategy Selection'!$D$50</definedName>
    <definedName name="Input_RTI_OAADTEx2">'Control Strategy Selection'!$E$50</definedName>
    <definedName name="Input_RTI_OAADTIn1">'Control Strategy Selection'!$D$48</definedName>
    <definedName name="Input_RTI_OAADTIn2">'Control Strategy Selection'!$E$48</definedName>
    <definedName name="Input_RTI_OAADTOut1">'Control Strategy Selection'!$D$49</definedName>
    <definedName name="Input_RTI_OAADTOut2">'Control Strategy Selection'!$E$49</definedName>
    <definedName name="Input_RTI_Other1_BaseIntx">'Control Strategy Selection'!$D$68</definedName>
    <definedName name="Input_RTI_Other2_BaseIntx">'Control Strategy Selection'!$D$69</definedName>
    <definedName name="Input_RTI_R1_BaseIntx">'Control Strategy Selection'!$D$66</definedName>
    <definedName name="Input_RTI_R1T1_AADT_L1">'Ramp-Terminal Inputs'!$J$49</definedName>
    <definedName name="Input_RTI_R1T1_AADT_L2">'Ramp-Terminal Inputs'!$J$56</definedName>
    <definedName name="Input_RTI_R1T1_AADT_L3">'Ramp-Terminal Inputs'!$J$63</definedName>
    <definedName name="Input_RTI_R1T1_Access_L1">'Ramp-Terminal Inputs'!$J$51</definedName>
    <definedName name="Input_RTI_R1T1_Access_L2">'Ramp-Terminal Inputs'!$J$58</definedName>
    <definedName name="Input_RTI_R1T1_Access_L3">'Ramp-Terminal Inputs'!$J$65</definedName>
    <definedName name="Input_RTI_R1T1_Bypass_L1">'Ramp-Terminal Inputs'!$J$50</definedName>
    <definedName name="Input_RTI_R1T1_Bypass_L2">'Ramp-Terminal Inputs'!$J$57</definedName>
    <definedName name="Input_RTI_R1T1_Bypass_L3">'Ramp-Terminal Inputs'!$J$64</definedName>
    <definedName name="Input_RTI_R1T1_ICD">'Ramp-Terminal Inputs'!$J$46</definedName>
    <definedName name="Input_RTI_R1T2_AADT_L1">'Ramp-Terminal Inputs'!$K$49</definedName>
    <definedName name="Input_RTI_R1T2_AADT_L2">'Ramp-Terminal Inputs'!$K$56</definedName>
    <definedName name="Input_RTI_R1T2_AADT_L3">'Ramp-Terminal Inputs'!$K$63</definedName>
    <definedName name="Input_RTI_R1T2_Access_L1">'Ramp-Terminal Inputs'!$K$51</definedName>
    <definedName name="Input_RTI_R1T2_Access_L2">'Ramp-Terminal Inputs'!$K$58</definedName>
    <definedName name="Input_RTI_R1T2_Access_L3">'Ramp-Terminal Inputs'!$K$65</definedName>
    <definedName name="Input_RTI_R1T2_Bypass_L1">'Ramp-Terminal Inputs'!$K$50</definedName>
    <definedName name="Input_RTI_R1T2_Bypass_L2">'Ramp-Terminal Inputs'!$K$57</definedName>
    <definedName name="Input_RTI_R1T2_Bypass_L3">'Ramp-Terminal Inputs'!$K$64</definedName>
    <definedName name="Input_RTI_R1T2_ICD">'Ramp-Terminal Inputs'!$K$46</definedName>
    <definedName name="Input_RTI_R2T1_AADT_L1">'Ramp-Terminal Inputs'!$L$49</definedName>
    <definedName name="Input_RTI_R2T1_AADT_L2">'Ramp-Terminal Inputs'!$L$56</definedName>
    <definedName name="Input_RTI_R2T1_AADT_L3">'Ramp-Terminal Inputs'!$L$63</definedName>
    <definedName name="Input_RTI_R2T1_Bypass_L1">'Ramp-Terminal Inputs'!$L$50</definedName>
    <definedName name="Input_RTI_R2T1_Bypass_L2">'Ramp-Terminal Inputs'!$L$57</definedName>
    <definedName name="Input_RTI_R2T1_Bypass_L3">'Ramp-Terminal Inputs'!$L$64</definedName>
    <definedName name="Input_RTI_R2T1_CL_L1">'Ramp-Terminal Inputs'!$L$54</definedName>
    <definedName name="Input_RTI_R2T1_CL_L2">'Ramp-Terminal Inputs'!$L$61</definedName>
    <definedName name="Input_RTI_R2T1_CL_L3">'Ramp-Terminal Inputs'!$L$68</definedName>
    <definedName name="Input_RTI_R2T1_EL_L1">'Ramp-Terminal Inputs'!$L$53</definedName>
    <definedName name="Input_RTI_R2T1_EL_L2">'Ramp-Terminal Inputs'!$L$60</definedName>
    <definedName name="Input_RTI_R2T1_EL_L3">'Ramp-Terminal Inputs'!$L$67</definedName>
    <definedName name="Input_RTI_R2T1_EW_L1">'Ramp-Terminal Inputs'!$L$52</definedName>
    <definedName name="Input_RTI_R2T1_EW_L2">'Ramp-Terminal Inputs'!$L$59</definedName>
    <definedName name="Input_RTI_R2T1_EW_L3">'Ramp-Terminal Inputs'!$L$66</definedName>
    <definedName name="Input_RTI_R2T2_AADT_L1">'Ramp-Terminal Inputs'!$M$49</definedName>
    <definedName name="Input_RTI_R2T2_AADT_L2">'Ramp-Terminal Inputs'!$M$56</definedName>
    <definedName name="Input_RTI_R2T2_AADT_L3">'Ramp-Terminal Inputs'!$M$63</definedName>
    <definedName name="Input_RTI_R2T2_Bypass_L1">'Ramp-Terminal Inputs'!$M$50</definedName>
    <definedName name="Input_RTI_R2T2_Bypass_L2">'Ramp-Terminal Inputs'!$M$57</definedName>
    <definedName name="Input_RTI_R2T2_Bypass_L3">'Ramp-Terminal Inputs'!$M$64</definedName>
    <definedName name="Input_RTI_R2T2_CL_L1">'Ramp-Terminal Inputs'!$M$54</definedName>
    <definedName name="Input_RTI_R2T2_CL_L2">'Ramp-Terminal Inputs'!$M$61</definedName>
    <definedName name="Input_RTI_R2T2_CL_L3">'Ramp-Terminal Inputs'!$M$68</definedName>
    <definedName name="Input_RTI_R2T2_EL_L1">'Ramp-Terminal Inputs'!$M$53</definedName>
    <definedName name="Input_RTI_R2T2_EL_L2">'Ramp-Terminal Inputs'!$M$60</definedName>
    <definedName name="Input_RTI_R2T2_EL_L3">'Ramp-Terminal Inputs'!$M$67</definedName>
    <definedName name="Input_RTI_R2T2_EW_L1">'Ramp-Terminal Inputs'!$M$52</definedName>
    <definedName name="Input_RTI_R2T2_EW_L2">'Ramp-Terminal Inputs'!$M$59</definedName>
    <definedName name="Input_RTI_R2T2_EW_L3">'Ramp-Terminal Inputs'!$M$66</definedName>
    <definedName name="Input_SPUI_NFFRT">'Ramp-Terminal Inputs'!$H$18</definedName>
    <definedName name="Input_TrafficSignal_AppWithRTORProhibit">'At-Grade Inputs'!$D$22</definedName>
    <definedName name="Input_TrafficSignal_DAADTMajor">'At-Grade Inputs'!$D$9</definedName>
    <definedName name="Input_TrafficSignal_DAADTMinor">'At-Grade Inputs'!$D$10</definedName>
    <definedName name="Input_TrafficSignal_NumAppWithLTLns">'At-Grade Inputs'!$D$11</definedName>
    <definedName name="Input_TrafficSignal_NumAppWithRTLns">'At-Grade Inputs'!$D$12</definedName>
    <definedName name="Input_TrafficSignal_NumLTPermitted">'At-Grade Inputs'!$D$19</definedName>
    <definedName name="Input_TrafficSignal_NumLTPermProt">'At-Grade Inputs'!$D$20</definedName>
    <definedName name="Input_TrafficSignal_NumLTProtected">'At-Grade Inputs'!$D$21</definedName>
    <definedName name="Input_TrafficSignal_NumMajorLns">'At-Grade Inputs'!$D$24</definedName>
    <definedName name="Input_TrafficSignal_NumMinorLns">'At-Grade Inputs'!$D$25</definedName>
    <definedName name="Input_TrafficSignal_NumRTChannelization">'At-Grade Inputs'!$D$26</definedName>
    <definedName name="Input_TrafficSignal_OAADTMajor">'At-Grade Inputs'!$D$7</definedName>
    <definedName name="Input_TrafficSignal_OAADTMinor">'At-Grade Inputs'!$D$8</definedName>
    <definedName name="Input_TrafficSignal_PedActivity">'At-Grade Inputs'!$D$28</definedName>
    <definedName name="Input_TrafficSignal_PedLnsCross">'At-Grade Inputs'!$D$30</definedName>
    <definedName name="Input_TrafficSignal_PedVol">'At-Grade Inputs'!$D$29</definedName>
    <definedName name="Input_TrafficSignal_RedLightCameras">'At-Grade Inputs'!$D$23</definedName>
    <definedName name="Input_TrafficSignal_UTurnProhibit">'At-Grade Inputs'!$D$27</definedName>
    <definedName name="Input_TrafficSignal2_AppWithRTORProhibit">'At-Grade Inputs'!$F$22</definedName>
    <definedName name="Input_TrafficSignal2_DAADTMajor">'At-Grade Inputs'!$F$9</definedName>
    <definedName name="Input_TrafficSignal2_DAADTMinor">'At-Grade Inputs'!$F$10</definedName>
    <definedName name="Input_TrafficSignal2_HasSchool">'At-Grade Inputs'!$F$32</definedName>
    <definedName name="Input_TrafficSignal2_Lighting">'At-Grade Inputs'!$F$18</definedName>
    <definedName name="Input_TrafficSignal2_NumABC">'At-Grade Inputs'!$F$33</definedName>
    <definedName name="Input_TrafficSignal2_NumAppWithLTLns">'At-Grade Inputs'!$F$11</definedName>
    <definedName name="Input_TrafficSignal2_NumAppWithRTLns">'At-Grade Inputs'!$F$12</definedName>
    <definedName name="Input_TrafficSignal2_NumBusStops">'At-Grade Inputs'!$F$31</definedName>
    <definedName name="Input_TrafficSignal2_NumLTPermitted">'At-Grade Inputs'!$F$19</definedName>
    <definedName name="Input_TrafficSignal2_NumLTPermProt">'At-Grade Inputs'!$F$20</definedName>
    <definedName name="Input_TrafficSignal2_NumLTProtected">'At-Grade Inputs'!$F$21</definedName>
    <definedName name="Input_TrafficSignal2_NumMajorLns">'At-Grade Inputs'!$F$24</definedName>
    <definedName name="Input_TrafficSignal2_NumMinorLns">'At-Grade Inputs'!$F$25</definedName>
    <definedName name="Input_TrafficSignal2_NumRTChannelization">'At-Grade Inputs'!$F$26</definedName>
    <definedName name="Input_TrafficSignal2_OAADTMajor">'At-Grade Inputs'!$F$7</definedName>
    <definedName name="Input_TrafficSignal2_OAADTMinor">'At-Grade Inputs'!$F$8</definedName>
    <definedName name="Input_TrafficSignal2_PedActivity">'At-Grade Inputs'!$F$28</definedName>
    <definedName name="Input_TrafficSignal2_PedLnsCross">'At-Grade Inputs'!$F$30</definedName>
    <definedName name="Input_TrafficSignal2_PedVol">'At-Grade Inputs'!$F$29</definedName>
    <definedName name="Input_TrafficSignal2_RedLightCameras">'At-Grade Inputs'!$F$23</definedName>
    <definedName name="Input_TrafficSignal2_UTurnProhibit">'At-Grade Inputs'!$F$27</definedName>
    <definedName name="IsChecked_AGI_AllStop">'User Selections'!$B$6</definedName>
    <definedName name="IsChecked_AGI_DLT">'User Selections'!$B$9</definedName>
    <definedName name="IsChecked_AGI_GreenT">'User Selections'!$B$13</definedName>
    <definedName name="IsChecked_AGI_Jughandle">'User Selections'!$B$14</definedName>
    <definedName name="IsChecked_AGI_MinorStop">'User Selections'!$B$5</definedName>
    <definedName name="IsChecked_AGI_MUT">'User Selections'!$B$10</definedName>
    <definedName name="IsChecked_AGI_Other1">'User Selections'!$B$15</definedName>
    <definedName name="IsChecked_AGI_Other2">'User Selections'!$B$16</definedName>
    <definedName name="IsChecked_AGI_RCUTSig">'User Selections'!$B$11</definedName>
    <definedName name="IsChecked_AGI_RCUTUnsig">'User Selections'!$B$12</definedName>
    <definedName name="IsChecked_AGI_Rdbt1Ln">'User Selections'!$B$7</definedName>
    <definedName name="IsChecked_AGI_Rdbt2Ln">'User Selections'!$B$8</definedName>
    <definedName name="IsChecked_AGI_TrafficSignal">'User Selections'!$B$3</definedName>
    <definedName name="IsChecked_AGI_TrafficSignal2">'User Selections'!$B$4</definedName>
    <definedName name="IsChecked_RTI_D4MS">'User Selections'!$B$25</definedName>
    <definedName name="IsChecked_RTI_D4TS">'User Selections'!$B$21</definedName>
    <definedName name="IsChecked_RTI_D4TSA">'User Selections'!$B$22</definedName>
    <definedName name="IsChecked_RTI_DDI">'User Selections'!$B$23</definedName>
    <definedName name="IsChecked_RTI_Other1">'User Selections'!$B$28</definedName>
    <definedName name="IsChecked_RTI_Other2">'User Selections'!$B$29</definedName>
    <definedName name="IsChecked_RTI_Rdbt1Ln">'User Selections'!$B$26</definedName>
    <definedName name="IsChecked_RTI_Rdbt2Ln">'User Selections'!$B$27</definedName>
    <definedName name="IsChecked_RTI_SPUI">'User Selections'!$B$24</definedName>
    <definedName name="Label_AGI_1LnRdbt">Labels!$A$8</definedName>
    <definedName name="Label_AGI_2LnRdbt">Labels!$A$9</definedName>
    <definedName name="Label_AGI_AllStop">Labels!$A$7</definedName>
    <definedName name="Label_AGI_DLT">Labels!$A$10</definedName>
    <definedName name="Label_AGI_GreenT">Labels!$A$14</definedName>
    <definedName name="Label_AGI_Jughandle">Labels!$A$15</definedName>
    <definedName name="Label_AGI_MinorStop">Labels!$A$6</definedName>
    <definedName name="Label_AGI_MUT">Labels!$A$11</definedName>
    <definedName name="Label_AGI_RCUTSig">Labels!$A$12</definedName>
    <definedName name="Label_AGI_RCUTUnsig">Labels!$A$13</definedName>
    <definedName name="Label_AGI_TrafficSignal">Labels!$A$5</definedName>
    <definedName name="Label_AnalysisYearType_OpenAndDesign">Labels!$A$46</definedName>
    <definedName name="Label_AnalysisYearType_OpenOnly">Labels!$A$45</definedName>
    <definedName name="Label_Is4Leg">Labels!$D$51</definedName>
    <definedName name="Label_Ped_Activity_Custom">Labels!$A$58</definedName>
    <definedName name="Label_Ped_Activity_High">Labels!$A$53</definedName>
    <definedName name="Label_Ped_Activity_Low">Labels!$A$57</definedName>
    <definedName name="Label_Ped_Activity_MedHigh">Labels!$A$54</definedName>
    <definedName name="Label_Ped_Activity_Medium">Labels!$A$55</definedName>
    <definedName name="Label_Ped_Activity_MedLow">Labels!$A$56</definedName>
    <definedName name="Label_RTI_1LnRdbt">'Control Strategy Selection'!$A$66</definedName>
    <definedName name="Label_RTI_2LnRdbt">'Control Strategy Selection'!$A$67</definedName>
    <definedName name="Label_RTI_D4MS">'Control Strategy Selection'!$A$65</definedName>
    <definedName name="Label_RTI_D4TS">'Control Strategy Selection'!$A$61</definedName>
    <definedName name="Label_RTI_D4TSA">'Control Strategy Selection'!$A$62</definedName>
    <definedName name="Label_RTI_DDI">'Control Strategy Selection'!$A$63</definedName>
    <definedName name="Label_RTI_Other1">'Control Strategy Selection'!$A$68</definedName>
    <definedName name="Label_RTI_Other2">'Control Strategy Selection'!$A$69</definedName>
    <definedName name="Label_RTI_SPUI">'Control Strategy Selection'!$A$64</definedName>
    <definedName name="NPred_FI">#REF!</definedName>
    <definedName name="NPred_PDO">#REF!</definedName>
    <definedName name="NPred_Total">#REF!</definedName>
    <definedName name="Output_Range_AGI_Design">Results!$D$16:$D$43</definedName>
    <definedName name="Output_Range_AGI_LC">Results!$E$16:$E$43</definedName>
    <definedName name="Output_Range_RTI_Design">ResultsRTI!$D$16:$D$33</definedName>
    <definedName name="Output_Range_RTI_LC">ResultsRTI!$E$16:$E$33</definedName>
    <definedName name="Output_Ranking_Priority">Results!$H$6</definedName>
    <definedName name="_xlnm.Print_Area" localSheetId="0">Introduction!$A$1:$C$19</definedName>
    <definedName name="ProjectName">'Project Information'!$E$4</definedName>
    <definedName name="ProjectRef">'Project Information'!$E$7</definedName>
    <definedName name="Range_ItxList">'Control Strategy Selection'!$A$19:$A$24</definedName>
    <definedName name="Range_ItxList_RTI">Notes!$J$55:$J$57</definedName>
    <definedName name="Range_R2L">Definitions!$I$5:$M$10</definedName>
    <definedName name="Range_RAB1">Definitions!$O$4:$S$5</definedName>
    <definedName name="Range_RAB2">Definitions!$O$7:$S$8</definedName>
    <definedName name="Range_RML">Definitions!$I$14:$M$19</definedName>
    <definedName name="Range_Selection_AGI">'Control Strategy Selection'!$A$7:$H$33</definedName>
    <definedName name="Range_Selection_RTI">'Control Strategy Selection'!$A$44:$H$70</definedName>
    <definedName name="Range_USA_1x1">Definitions!$I$45:$M$50</definedName>
    <definedName name="Range_USA_1x2">Definitions!$I$38:$M$43</definedName>
    <definedName name="Range_USA_2x2_5F">Definitions!$I$23:$M$28</definedName>
    <definedName name="Range_USA_2x2_6P">Definitions!$I$30:$M$35</definedName>
    <definedName name="Range_USA_HS">Definitions!$I$53:$M$58</definedName>
    <definedName name="State">'Project Information'!$E$9</definedName>
  </definedName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50" i="5" l="1"/>
  <c r="I47" i="5"/>
  <c r="E68" i="14" l="1"/>
  <c r="E69" i="14"/>
  <c r="E15" i="14"/>
  <c r="I78" i="5"/>
  <c r="I79" i="5"/>
  <c r="I80" i="5"/>
  <c r="I81" i="5"/>
  <c r="I82" i="5"/>
  <c r="I83" i="5"/>
  <c r="I84" i="5"/>
  <c r="I85" i="5"/>
  <c r="I86" i="5"/>
  <c r="I87" i="5"/>
  <c r="I88" i="5"/>
  <c r="I89" i="5"/>
  <c r="I90" i="5"/>
  <c r="I91" i="5"/>
  <c r="I92" i="5"/>
  <c r="I93" i="5"/>
  <c r="I94" i="5"/>
  <c r="I95" i="5"/>
  <c r="I96" i="5"/>
  <c r="I97" i="5"/>
  <c r="I98" i="5"/>
  <c r="I99" i="5"/>
  <c r="I100" i="5"/>
  <c r="I77" i="5"/>
  <c r="E32" i="14" l="1"/>
  <c r="E31" i="14"/>
  <c r="E5" i="14"/>
  <c r="A22" i="14" l="1"/>
  <c r="B13" i="24" l="1"/>
  <c r="B12" i="24"/>
  <c r="B11" i="24"/>
  <c r="B10" i="24"/>
  <c r="B9" i="24"/>
  <c r="B8" i="24"/>
  <c r="B7" i="24"/>
  <c r="B6" i="24"/>
  <c r="J11" i="6" l="1"/>
  <c r="B13" i="6"/>
  <c r="B12" i="6"/>
  <c r="B11" i="6"/>
  <c r="B10" i="6"/>
  <c r="B9" i="6"/>
  <c r="B8" i="6"/>
  <c r="B7" i="6"/>
  <c r="B6" i="6"/>
  <c r="A24" i="14" l="1"/>
  <c r="A23" i="14"/>
  <c r="F66" i="14" l="1"/>
  <c r="E66" i="14"/>
  <c r="A66" i="14"/>
  <c r="A67" i="14"/>
  <c r="F23" i="14"/>
  <c r="E23" i="14"/>
  <c r="D20" i="14" l="1"/>
  <c r="D19" i="14"/>
  <c r="D22" i="14"/>
  <c r="D21" i="14"/>
  <c r="H13" i="4"/>
  <c r="H12" i="4"/>
  <c r="H11" i="4"/>
  <c r="H10" i="4"/>
  <c r="H7" i="4"/>
  <c r="H6" i="4"/>
  <c r="H9" i="4"/>
  <c r="H8" i="4"/>
  <c r="I24" i="14"/>
  <c r="I23" i="14"/>
  <c r="I22" i="14"/>
  <c r="J22" i="14"/>
  <c r="I21" i="14"/>
  <c r="I20" i="14"/>
  <c r="I19" i="14"/>
  <c r="M63" i="4"/>
  <c r="L63" i="4"/>
  <c r="M56" i="4"/>
  <c r="L56" i="4"/>
  <c r="M49" i="4"/>
  <c r="L49" i="4"/>
  <c r="K49" i="4"/>
  <c r="K56" i="4" s="1"/>
  <c r="J49" i="4"/>
  <c r="J56" i="4" s="1"/>
  <c r="K63" i="4"/>
  <c r="J63" i="4"/>
  <c r="J24" i="14"/>
  <c r="K24" i="14" s="1"/>
  <c r="J23" i="14"/>
  <c r="L23" i="14" s="1"/>
  <c r="N51" i="19"/>
  <c r="N58" i="19" s="1"/>
  <c r="L51" i="19"/>
  <c r="L58" i="19" s="1"/>
  <c r="N37" i="19"/>
  <c r="N44" i="19" s="1"/>
  <c r="L37" i="19"/>
  <c r="L44" i="19" s="1"/>
  <c r="G8" i="24"/>
  <c r="G8" i="6"/>
  <c r="A18" i="6"/>
  <c r="A24" i="6"/>
  <c r="A26" i="6"/>
  <c r="A16" i="6"/>
  <c r="J57" i="12"/>
  <c r="J56" i="12"/>
  <c r="J55" i="12"/>
  <c r="R65" i="14"/>
  <c r="P65" i="14"/>
  <c r="N65" i="14"/>
  <c r="Q65" i="14"/>
  <c r="O65" i="14"/>
  <c r="M65" i="14"/>
  <c r="R61" i="14"/>
  <c r="R62" i="14" s="1"/>
  <c r="Q61" i="14"/>
  <c r="Q62" i="14" s="1"/>
  <c r="P61" i="14"/>
  <c r="P62" i="14"/>
  <c r="O61" i="14"/>
  <c r="O62" i="14" s="1"/>
  <c r="N61" i="14"/>
  <c r="N62" i="14"/>
  <c r="M61" i="14"/>
  <c r="M62" i="14" s="1"/>
  <c r="L65" i="14"/>
  <c r="K65" i="14"/>
  <c r="K61" i="14"/>
  <c r="K62" i="14"/>
  <c r="L61" i="14"/>
  <c r="L62" i="14" s="1"/>
  <c r="A13" i="4"/>
  <c r="A12" i="4"/>
  <c r="A11" i="4"/>
  <c r="A10" i="4"/>
  <c r="A9" i="4"/>
  <c r="A8" i="4"/>
  <c r="A7" i="4"/>
  <c r="A6" i="4"/>
  <c r="A39" i="25"/>
  <c r="A38" i="25"/>
  <c r="B13" i="17"/>
  <c r="R26" i="6" s="1"/>
  <c r="E52" i="14"/>
  <c r="D52" i="14"/>
  <c r="E47" i="14"/>
  <c r="C5" i="4" s="1"/>
  <c r="D47" i="14"/>
  <c r="D5" i="4" s="1"/>
  <c r="B22" i="17"/>
  <c r="B23" i="17"/>
  <c r="B24" i="17"/>
  <c r="B25" i="17"/>
  <c r="B26" i="17"/>
  <c r="B27" i="17"/>
  <c r="B28" i="17"/>
  <c r="B29" i="17"/>
  <c r="B21" i="17"/>
  <c r="A29" i="17"/>
  <c r="A28" i="17"/>
  <c r="A27" i="17"/>
  <c r="A26" i="17"/>
  <c r="A25" i="17"/>
  <c r="A24" i="17"/>
  <c r="A23" i="17"/>
  <c r="A22" i="17"/>
  <c r="A21" i="17"/>
  <c r="B4" i="17"/>
  <c r="R17" i="24" s="1"/>
  <c r="B5" i="17"/>
  <c r="R18" i="6" s="1"/>
  <c r="B6" i="17"/>
  <c r="R19" i="24" s="1"/>
  <c r="B7" i="17"/>
  <c r="R20" i="24" s="1"/>
  <c r="B8" i="17"/>
  <c r="R21" i="24" s="1"/>
  <c r="B9" i="17"/>
  <c r="R22" i="6" s="1"/>
  <c r="B10" i="17"/>
  <c r="R23" i="24" s="1"/>
  <c r="B11" i="17"/>
  <c r="R24" i="24" s="1"/>
  <c r="B12" i="17"/>
  <c r="R25" i="6" s="1"/>
  <c r="B14" i="17"/>
  <c r="R27" i="6" s="1"/>
  <c r="B15" i="17"/>
  <c r="R28" i="6" s="1"/>
  <c r="B16" i="17"/>
  <c r="R29" i="6" s="1"/>
  <c r="B3" i="17"/>
  <c r="R16" i="24" s="1"/>
  <c r="E17" i="4"/>
  <c r="D17" i="4"/>
  <c r="C17" i="4"/>
  <c r="B17" i="4"/>
  <c r="F14" i="4"/>
  <c r="G13" i="4"/>
  <c r="F13" i="4"/>
  <c r="G12" i="4"/>
  <c r="F12" i="4"/>
  <c r="G11" i="4"/>
  <c r="F11" i="4"/>
  <c r="G10" i="4"/>
  <c r="F10" i="4"/>
  <c r="G9" i="4"/>
  <c r="F9" i="4"/>
  <c r="G8" i="4"/>
  <c r="F8" i="4"/>
  <c r="G7" i="4"/>
  <c r="F7" i="4"/>
  <c r="G6" i="4"/>
  <c r="F6" i="4"/>
  <c r="D14" i="4"/>
  <c r="E13" i="4"/>
  <c r="D13" i="4"/>
  <c r="E12" i="4"/>
  <c r="D12" i="4"/>
  <c r="E11" i="4"/>
  <c r="D11" i="4"/>
  <c r="E10" i="4"/>
  <c r="D10" i="4"/>
  <c r="E9" i="4"/>
  <c r="D9" i="4"/>
  <c r="E8" i="4"/>
  <c r="D8" i="4"/>
  <c r="E7" i="4"/>
  <c r="D7" i="4"/>
  <c r="E6" i="4"/>
  <c r="D6" i="4"/>
  <c r="C13" i="4"/>
  <c r="C12" i="4"/>
  <c r="C11" i="4"/>
  <c r="C10" i="4"/>
  <c r="C9" i="4"/>
  <c r="C8" i="4"/>
  <c r="C7" i="4"/>
  <c r="C6" i="4"/>
  <c r="B13" i="4"/>
  <c r="B12" i="4"/>
  <c r="B11" i="4"/>
  <c r="B10" i="4"/>
  <c r="B9" i="4"/>
  <c r="B8" i="4"/>
  <c r="B7" i="4"/>
  <c r="B6" i="4"/>
  <c r="B14" i="4"/>
  <c r="G9" i="24"/>
  <c r="A32" i="24"/>
  <c r="A30" i="24"/>
  <c r="A28" i="24"/>
  <c r="A26" i="24"/>
  <c r="A24" i="24"/>
  <c r="A22" i="24"/>
  <c r="A20" i="24"/>
  <c r="A18" i="24"/>
  <c r="A16" i="24"/>
  <c r="Q24" i="24"/>
  <c r="P24" i="24"/>
  <c r="Q23" i="24"/>
  <c r="P23" i="24"/>
  <c r="Q22" i="24"/>
  <c r="P22" i="24"/>
  <c r="Q21" i="24"/>
  <c r="P21" i="24"/>
  <c r="Q20" i="24"/>
  <c r="P20" i="24"/>
  <c r="Q19" i="24"/>
  <c r="P19" i="24"/>
  <c r="Q18" i="24"/>
  <c r="P18" i="24"/>
  <c r="Q17" i="24"/>
  <c r="P17" i="24"/>
  <c r="Q16" i="24"/>
  <c r="P16" i="24"/>
  <c r="G7" i="24"/>
  <c r="G6" i="24"/>
  <c r="AA5" i="24"/>
  <c r="F8" i="23"/>
  <c r="D8" i="23"/>
  <c r="G7" i="23"/>
  <c r="F7" i="23"/>
  <c r="E7" i="23"/>
  <c r="D7" i="23"/>
  <c r="G6" i="23"/>
  <c r="F6" i="23"/>
  <c r="E6" i="23"/>
  <c r="D6" i="23"/>
  <c r="D68" i="14"/>
  <c r="C15" i="22"/>
  <c r="D15" i="22"/>
  <c r="E15" i="22"/>
  <c r="B15" i="22"/>
  <c r="J21" i="14"/>
  <c r="J20" i="14"/>
  <c r="J19" i="14"/>
  <c r="F22" i="24"/>
  <c r="F30" i="24"/>
  <c r="F32" i="24"/>
  <c r="G13" i="6"/>
  <c r="G12" i="6"/>
  <c r="G11" i="6"/>
  <c r="G10" i="6"/>
  <c r="G9" i="6"/>
  <c r="G7" i="6"/>
  <c r="G6" i="6"/>
  <c r="F7" i="21"/>
  <c r="F7" i="5"/>
  <c r="I7" i="5" s="1"/>
  <c r="F8" i="21"/>
  <c r="F8" i="5" s="1"/>
  <c r="I8" i="5" s="1"/>
  <c r="F9" i="21"/>
  <c r="F9" i="5" s="1"/>
  <c r="I9" i="5" s="1"/>
  <c r="F10" i="21"/>
  <c r="F10" i="5"/>
  <c r="I10" i="5" s="1"/>
  <c r="F11" i="21"/>
  <c r="F11" i="5" s="1"/>
  <c r="I11" i="5" s="1"/>
  <c r="F12" i="21"/>
  <c r="F12" i="5" s="1"/>
  <c r="I12" i="5" s="1"/>
  <c r="F13" i="21"/>
  <c r="F13" i="5" s="1"/>
  <c r="I13" i="5" s="1"/>
  <c r="F14" i="21"/>
  <c r="F14" i="5" s="1"/>
  <c r="I14" i="5" s="1"/>
  <c r="F15" i="21"/>
  <c r="F15" i="5"/>
  <c r="I15" i="5" s="1"/>
  <c r="F16" i="21"/>
  <c r="F16" i="5" s="1"/>
  <c r="I16" i="5" s="1"/>
  <c r="F17" i="21"/>
  <c r="F17" i="5" s="1"/>
  <c r="I17" i="5" s="1"/>
  <c r="F18" i="21"/>
  <c r="F18" i="5" s="1"/>
  <c r="I18" i="5" s="1"/>
  <c r="F19" i="21"/>
  <c r="F19" i="5" s="1"/>
  <c r="I19" i="5" s="1"/>
  <c r="F20" i="21"/>
  <c r="F20" i="5" s="1"/>
  <c r="I20" i="5" s="1"/>
  <c r="F21" i="21"/>
  <c r="F21" i="5" s="1"/>
  <c r="I21" i="5" s="1"/>
  <c r="F22" i="21"/>
  <c r="F22" i="5"/>
  <c r="I22" i="5" s="1"/>
  <c r="F23" i="21"/>
  <c r="F23" i="5" s="1"/>
  <c r="I23" i="5" s="1"/>
  <c r="F24" i="21"/>
  <c r="F24" i="5" s="1"/>
  <c r="I24" i="5" s="1"/>
  <c r="F25" i="21"/>
  <c r="F25" i="5" s="1"/>
  <c r="I25" i="5" s="1"/>
  <c r="F26" i="21"/>
  <c r="F26" i="5" s="1"/>
  <c r="I26" i="5" s="1"/>
  <c r="F27" i="21"/>
  <c r="F27" i="5"/>
  <c r="I27" i="5" s="1"/>
  <c r="F28" i="21"/>
  <c r="F28" i="5" s="1"/>
  <c r="I28" i="5" s="1"/>
  <c r="F29" i="21"/>
  <c r="F29" i="5" s="1"/>
  <c r="I29" i="5" s="1"/>
  <c r="F30" i="21"/>
  <c r="F30" i="5" s="1"/>
  <c r="I30" i="5" s="1"/>
  <c r="F31" i="21"/>
  <c r="F31" i="5"/>
  <c r="I31" i="5" s="1"/>
  <c r="F32" i="21"/>
  <c r="F32" i="5" s="1"/>
  <c r="I32" i="5" s="1"/>
  <c r="F33" i="21"/>
  <c r="F33" i="5" s="1"/>
  <c r="I33" i="5" s="1"/>
  <c r="F34" i="21"/>
  <c r="F34" i="5"/>
  <c r="I34" i="5" s="1"/>
  <c r="F35" i="21"/>
  <c r="F35" i="5" s="1"/>
  <c r="I35" i="5" s="1"/>
  <c r="F36" i="21"/>
  <c r="F36" i="5" s="1"/>
  <c r="I36" i="5" s="1"/>
  <c r="F37" i="21"/>
  <c r="F37" i="5" s="1"/>
  <c r="I37" i="5" s="1"/>
  <c r="F38" i="21"/>
  <c r="F38" i="5" s="1"/>
  <c r="I38" i="5" s="1"/>
  <c r="F39" i="21"/>
  <c r="F39" i="5"/>
  <c r="I39" i="5" s="1"/>
  <c r="F40" i="21"/>
  <c r="F40" i="5" s="1"/>
  <c r="I40" i="5" s="1"/>
  <c r="F41" i="21"/>
  <c r="F41" i="5" s="1"/>
  <c r="I41" i="5" s="1"/>
  <c r="F42" i="21"/>
  <c r="F42" i="5"/>
  <c r="I42" i="5" s="1"/>
  <c r="F43" i="21"/>
  <c r="F43" i="5" s="1"/>
  <c r="I43" i="5" s="1"/>
  <c r="F6" i="21"/>
  <c r="F6" i="5" s="1"/>
  <c r="I6" i="5" s="1"/>
  <c r="Q29" i="6"/>
  <c r="Q28" i="6"/>
  <c r="P29" i="6"/>
  <c r="P28" i="6"/>
  <c r="I71" i="5"/>
  <c r="I70" i="5"/>
  <c r="I69" i="5"/>
  <c r="I68" i="5"/>
  <c r="Q17" i="6"/>
  <c r="P17" i="6"/>
  <c r="D5" i="19"/>
  <c r="F5" i="19"/>
  <c r="P18" i="6"/>
  <c r="P19" i="6"/>
  <c r="H58" i="18"/>
  <c r="H57" i="18"/>
  <c r="H56" i="18"/>
  <c r="H55" i="18"/>
  <c r="H54" i="18"/>
  <c r="H53" i="18"/>
  <c r="F10" i="19"/>
  <c r="F9" i="19"/>
  <c r="F8" i="19"/>
  <c r="F7" i="19"/>
  <c r="E6" i="14"/>
  <c r="E16" i="14"/>
  <c r="E14" i="14"/>
  <c r="E13" i="14"/>
  <c r="Z10" i="19"/>
  <c r="Z9" i="19"/>
  <c r="Z8" i="19"/>
  <c r="Z7" i="19"/>
  <c r="X10" i="19"/>
  <c r="X9" i="19"/>
  <c r="X8" i="19"/>
  <c r="X7" i="19"/>
  <c r="V10" i="19"/>
  <c r="V9" i="19"/>
  <c r="V8" i="19"/>
  <c r="V7" i="19"/>
  <c r="T10" i="19"/>
  <c r="T9" i="19"/>
  <c r="T8" i="19"/>
  <c r="T7" i="19"/>
  <c r="R10" i="19"/>
  <c r="R9" i="19"/>
  <c r="R8" i="19"/>
  <c r="R7" i="19"/>
  <c r="P10" i="19"/>
  <c r="P9" i="19"/>
  <c r="P8" i="19"/>
  <c r="P7" i="19"/>
  <c r="N10" i="19"/>
  <c r="N9" i="19"/>
  <c r="N8" i="19"/>
  <c r="N7" i="19"/>
  <c r="L10" i="19"/>
  <c r="L9" i="19"/>
  <c r="L8" i="19"/>
  <c r="L7" i="19"/>
  <c r="J10" i="19"/>
  <c r="J9" i="19"/>
  <c r="J8" i="19"/>
  <c r="J7" i="19"/>
  <c r="H10" i="19"/>
  <c r="H9" i="19"/>
  <c r="H8" i="19"/>
  <c r="H7" i="19"/>
  <c r="D10" i="19"/>
  <c r="D9" i="19"/>
  <c r="D8" i="19"/>
  <c r="D7" i="19"/>
  <c r="P25" i="6"/>
  <c r="Q27" i="6"/>
  <c r="Q26" i="6"/>
  <c r="Q25" i="6"/>
  <c r="Q24" i="6"/>
  <c r="Q23" i="6"/>
  <c r="Q22" i="6"/>
  <c r="Q21" i="6"/>
  <c r="Q20" i="6"/>
  <c r="Q19" i="6"/>
  <c r="Q18" i="6"/>
  <c r="P27" i="6"/>
  <c r="P26" i="6"/>
  <c r="P24" i="6"/>
  <c r="P23" i="6"/>
  <c r="P22" i="6"/>
  <c r="P21" i="6"/>
  <c r="P20" i="6"/>
  <c r="Q16" i="6"/>
  <c r="P16" i="6"/>
  <c r="I48" i="5"/>
  <c r="I49" i="5"/>
  <c r="I51" i="5"/>
  <c r="I52" i="5"/>
  <c r="I57" i="5"/>
  <c r="I58" i="5"/>
  <c r="I59" i="5"/>
  <c r="I60" i="5"/>
  <c r="I61" i="5"/>
  <c r="I62" i="5"/>
  <c r="I63" i="5"/>
  <c r="I64" i="5"/>
  <c r="I65" i="5"/>
  <c r="I66" i="5"/>
  <c r="I67" i="5"/>
  <c r="I72" i="5"/>
  <c r="I73" i="5"/>
  <c r="I56" i="5"/>
  <c r="F42" i="6"/>
  <c r="F40" i="6"/>
  <c r="G54" i="18"/>
  <c r="G55" i="18"/>
  <c r="G56" i="18"/>
  <c r="G57" i="18"/>
  <c r="G58" i="18"/>
  <c r="G53" i="18"/>
  <c r="E51" i="18"/>
  <c r="A54" i="18"/>
  <c r="A55" i="18"/>
  <c r="A56" i="18"/>
  <c r="A57" i="18"/>
  <c r="A53" i="18"/>
  <c r="A58" i="18"/>
  <c r="A38" i="6"/>
  <c r="A36" i="6"/>
  <c r="A34" i="6"/>
  <c r="A32" i="6"/>
  <c r="A30" i="6"/>
  <c r="A28" i="6"/>
  <c r="A22" i="6"/>
  <c r="A20" i="6"/>
  <c r="H33" i="19"/>
  <c r="J33" i="19"/>
  <c r="L33" i="19"/>
  <c r="N33" i="19"/>
  <c r="H32" i="19"/>
  <c r="J32" i="19"/>
  <c r="L32" i="19"/>
  <c r="N32" i="19"/>
  <c r="H31" i="19"/>
  <c r="J31" i="19"/>
  <c r="L31" i="19"/>
  <c r="N31" i="19"/>
  <c r="Z5" i="19"/>
  <c r="X5" i="19"/>
  <c r="V5" i="19"/>
  <c r="T5" i="19"/>
  <c r="R5" i="19"/>
  <c r="P5" i="19"/>
  <c r="N5" i="19"/>
  <c r="L5" i="19"/>
  <c r="J5" i="19"/>
  <c r="H5" i="19"/>
  <c r="V65" i="14" l="1"/>
  <c r="T61" i="14"/>
  <c r="T62" i="14" s="1"/>
  <c r="S61" i="14"/>
  <c r="S62" i="14" s="1"/>
  <c r="U61" i="14"/>
  <c r="U62" i="14" s="1"/>
  <c r="V61" i="14"/>
  <c r="V62" i="14" s="1"/>
  <c r="U65" i="14"/>
  <c r="T65" i="14"/>
  <c r="S65" i="14"/>
  <c r="N22" i="14"/>
  <c r="E5" i="4"/>
  <c r="M5" i="4"/>
  <c r="B5" i="4"/>
  <c r="G5" i="4"/>
  <c r="J5" i="4"/>
  <c r="L5" i="4"/>
  <c r="K5" i="4"/>
  <c r="F5" i="4"/>
  <c r="N24" i="14"/>
  <c r="T20" i="24"/>
  <c r="S29" i="6"/>
  <c r="T28" i="6"/>
  <c r="T29" i="6"/>
  <c r="S28" i="6"/>
  <c r="R21" i="6"/>
  <c r="T21" i="6" s="1"/>
  <c r="R24" i="6"/>
  <c r="T24" i="6" s="1"/>
  <c r="R16" i="6"/>
  <c r="S16" i="6" s="1"/>
  <c r="S24" i="24"/>
  <c r="R22" i="24"/>
  <c r="S22" i="24" s="1"/>
  <c r="T21" i="24"/>
  <c r="T24" i="24"/>
  <c r="R19" i="6"/>
  <c r="S19" i="6" s="1"/>
  <c r="R18" i="24"/>
  <c r="S18" i="24" s="1"/>
  <c r="R17" i="6"/>
  <c r="S17" i="6" s="1"/>
  <c r="T25" i="6"/>
  <c r="S25" i="6"/>
  <c r="R20" i="6"/>
  <c r="T20" i="6" s="1"/>
  <c r="T27" i="6"/>
  <c r="S27" i="6"/>
  <c r="T23" i="24"/>
  <c r="R23" i="6"/>
  <c r="S23" i="6" s="1"/>
  <c r="S23" i="24"/>
  <c r="S22" i="6"/>
  <c r="T22" i="6"/>
  <c r="S21" i="24"/>
  <c r="S20" i="24"/>
  <c r="S19" i="24"/>
  <c r="T19" i="24"/>
  <c r="S17" i="24"/>
  <c r="T17" i="24"/>
  <c r="S16" i="24"/>
  <c r="T16" i="24"/>
  <c r="K22" i="14"/>
  <c r="M20" i="14"/>
  <c r="K21" i="14"/>
  <c r="M23" i="14"/>
  <c r="S26" i="6"/>
  <c r="M24" i="14"/>
  <c r="K23" i="14"/>
  <c r="L24" i="14"/>
  <c r="M19" i="14"/>
  <c r="K20" i="14"/>
  <c r="K19" i="14"/>
  <c r="N19" i="14"/>
  <c r="L19" i="14"/>
  <c r="T26" i="6"/>
  <c r="M21" i="14"/>
  <c r="N23" i="14"/>
  <c r="M22" i="14"/>
  <c r="S18" i="6"/>
  <c r="T18" i="6"/>
  <c r="N20" i="14"/>
  <c r="L22" i="14"/>
  <c r="L21" i="14"/>
  <c r="L20" i="14"/>
  <c r="N21" i="14"/>
  <c r="X65" i="14" l="1"/>
  <c r="G65" i="14" s="1"/>
  <c r="W61" i="14"/>
  <c r="W62" i="14" s="1"/>
  <c r="E62" i="14" s="1"/>
  <c r="W65" i="14"/>
  <c r="E65" i="14" s="1"/>
  <c r="X61" i="14"/>
  <c r="X62" i="14" s="1"/>
  <c r="G62" i="14" s="1"/>
  <c r="S24" i="6"/>
  <c r="S21" i="6"/>
  <c r="T16" i="6"/>
  <c r="T17" i="6"/>
  <c r="T22" i="24"/>
  <c r="T19" i="6"/>
  <c r="S20" i="6"/>
  <c r="T18" i="24"/>
  <c r="T23" i="6"/>
  <c r="O23" i="14"/>
  <c r="O24" i="14"/>
  <c r="P23" i="14"/>
  <c r="O19" i="14"/>
  <c r="P24" i="14"/>
  <c r="O20" i="14"/>
  <c r="P22" i="14"/>
  <c r="P21" i="14"/>
  <c r="G21" i="14" s="1"/>
  <c r="P19" i="14"/>
  <c r="G19" i="14" s="1"/>
  <c r="P20" i="14"/>
  <c r="G20" i="14" s="1"/>
  <c r="O22" i="14"/>
  <c r="U18" i="24"/>
  <c r="U17" i="24"/>
  <c r="U22" i="24"/>
  <c r="U24" i="24"/>
  <c r="U16" i="24"/>
  <c r="U21" i="24"/>
  <c r="U19" i="24"/>
  <c r="U20" i="24"/>
  <c r="U23" i="24"/>
  <c r="O21" i="14"/>
  <c r="G24" i="24" l="1"/>
  <c r="E61" i="14"/>
  <c r="G18" i="24"/>
  <c r="G16" i="24"/>
  <c r="G61" i="14"/>
  <c r="V23" i="24"/>
  <c r="W23" i="24" s="1"/>
  <c r="V19" i="24"/>
  <c r="W19" i="24" s="1"/>
  <c r="V24" i="24"/>
  <c r="W24" i="24" s="1"/>
  <c r="V16" i="24"/>
  <c r="W16" i="24" s="1"/>
  <c r="V18" i="24"/>
  <c r="W18" i="24" s="1"/>
  <c r="V20" i="24"/>
  <c r="W20" i="24" s="1"/>
  <c r="V21" i="24"/>
  <c r="W21" i="24" s="1"/>
  <c r="V22" i="24"/>
  <c r="W22" i="24" s="1"/>
  <c r="V17" i="24"/>
  <c r="W17" i="24" s="1"/>
  <c r="U20" i="6"/>
  <c r="V18" i="6"/>
  <c r="V29" i="6"/>
  <c r="V21" i="6"/>
  <c r="U23" i="6"/>
  <c r="U29" i="6"/>
  <c r="V26" i="6"/>
  <c r="V25" i="6"/>
  <c r="V19" i="6"/>
  <c r="V16" i="6"/>
  <c r="V24" i="6"/>
  <c r="V23" i="6"/>
  <c r="V17" i="6"/>
  <c r="V22" i="6"/>
  <c r="V27" i="6"/>
  <c r="V20" i="6"/>
  <c r="V28" i="6"/>
  <c r="U25" i="6"/>
  <c r="U27" i="6"/>
  <c r="U28" i="6"/>
  <c r="U18" i="6"/>
  <c r="U17" i="6"/>
  <c r="U21" i="6"/>
  <c r="U24" i="6"/>
  <c r="U26" i="6"/>
  <c r="U16" i="6"/>
  <c r="U22" i="6"/>
  <c r="U19" i="6"/>
  <c r="G26" i="6"/>
  <c r="G24" i="6"/>
  <c r="E20" i="14"/>
  <c r="E19" i="14"/>
  <c r="G20" i="6"/>
  <c r="E21" i="14"/>
  <c r="X22" i="24" l="1"/>
  <c r="F28" i="24" s="1"/>
  <c r="X17" i="24"/>
  <c r="F18" i="24" s="1"/>
  <c r="W16" i="6"/>
  <c r="W20" i="6"/>
  <c r="W18" i="6"/>
  <c r="W26" i="6"/>
  <c r="W29" i="6"/>
  <c r="W21" i="6"/>
  <c r="W23" i="6"/>
  <c r="W24" i="6"/>
  <c r="W19" i="6"/>
  <c r="W27" i="6"/>
  <c r="W25" i="6"/>
  <c r="W17" i="6"/>
  <c r="W22" i="6"/>
  <c r="W28" i="6"/>
  <c r="X20" i="24"/>
  <c r="F24" i="24" s="1"/>
  <c r="X24" i="24"/>
  <c r="X16" i="24"/>
  <c r="F16" i="24" s="1"/>
  <c r="X21" i="24"/>
  <c r="F26" i="24" s="1"/>
  <c r="X23" i="24"/>
  <c r="X19" i="24"/>
  <c r="X18" i="24"/>
  <c r="F20" i="24" s="1"/>
  <c r="X18" i="6" l="1"/>
  <c r="F20" i="6" s="1"/>
  <c r="X28" i="6"/>
  <c r="X24" i="6"/>
  <c r="F32" i="6" s="1"/>
  <c r="X20" i="6"/>
  <c r="F24" i="6" s="1"/>
  <c r="X29" i="6"/>
  <c r="X26" i="6"/>
  <c r="F36" i="6" s="1"/>
  <c r="X21" i="6"/>
  <c r="F26" i="6" s="1"/>
  <c r="X16" i="6"/>
  <c r="F16" i="6" s="1"/>
  <c r="X17" i="6"/>
  <c r="F18" i="6" s="1"/>
  <c r="X19" i="6"/>
  <c r="F22" i="6" s="1"/>
  <c r="X25" i="6"/>
  <c r="F34" i="6" s="1"/>
  <c r="X22" i="6"/>
  <c r="F28" i="6" s="1"/>
  <c r="X27" i="6"/>
  <c r="F38" i="6" s="1"/>
  <c r="X23" i="6"/>
  <c r="F30"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Andrew Butsick</author>
    <author>Lake Trask</author>
  </authors>
  <commentList>
    <comment ref="C9" authorId="0" shapeId="0" xr:uid="{00000000-0006-0000-0200-000001000000}">
      <text/>
    </comment>
    <comment ref="F27" authorId="0" shapeId="0" xr:uid="{00000000-0006-0000-0200-000002000000}">
      <text>
        <r>
          <rPr>
            <sz val="9"/>
            <color indexed="81"/>
            <rFont val="Tahoma"/>
            <family val="2"/>
          </rPr>
          <t>Total AADT of all ramp legs</t>
        </r>
      </text>
    </comment>
    <comment ref="F28" authorId="0" shapeId="0" xr:uid="{00000000-0006-0000-0200-000003000000}">
      <text>
        <r>
          <rPr>
            <sz val="9"/>
            <color indexed="81"/>
            <rFont val="Tahoma"/>
            <family val="2"/>
          </rPr>
          <t>Total AADT of all ramp legs</t>
        </r>
      </text>
    </comment>
    <comment ref="F29" authorId="0" shapeId="0" xr:uid="{00000000-0006-0000-0200-000004000000}">
      <text>
        <r>
          <rPr>
            <sz val="9"/>
            <color indexed="81"/>
            <rFont val="Tahoma"/>
            <family val="2"/>
          </rPr>
          <t>Total AADT of all ramp legs</t>
        </r>
      </text>
    </comment>
    <comment ref="F30" authorId="0" shapeId="0" xr:uid="{00000000-0006-0000-0200-000005000000}">
      <text>
        <r>
          <rPr>
            <sz val="9"/>
            <color indexed="81"/>
            <rFont val="Tahoma"/>
            <family val="2"/>
          </rPr>
          <t>Total AADT of all ramp legs</t>
        </r>
      </text>
    </comment>
    <comment ref="C31" authorId="1" shapeId="0" xr:uid="{00000000-0006-0000-0200-000006000000}">
      <text/>
    </comment>
    <comment ref="C33" authorId="0" shapeId="0" xr:uid="{00000000-0006-0000-0200-000007000000}">
      <text/>
    </comment>
    <comment ref="C35" authorId="0" shapeId="0" xr:uid="{00000000-0006-0000-0200-000008000000}">
      <text/>
    </comment>
    <comment ref="C36" authorId="0" shapeId="0" xr:uid="{00000000-0006-0000-0200-000009000000}">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Lake Trask</author>
  </authors>
  <commentList>
    <comment ref="A17" authorId="0" shapeId="0" xr:uid="{00000000-0006-0000-0400-000001000000}">
      <text>
        <r>
          <rPr>
            <b/>
            <sz val="9"/>
            <color indexed="81"/>
            <rFont val="Tahoma"/>
            <family val="2"/>
          </rPr>
          <t>See Definitions Worksheet for More Information</t>
        </r>
      </text>
    </comment>
    <comment ref="A24" authorId="0" shapeId="0" xr:uid="{00000000-0006-0000-0400-000002000000}">
      <text>
        <r>
          <rPr>
            <b/>
            <sz val="9"/>
            <color indexed="81"/>
            <rFont val="Tahoma"/>
            <family val="2"/>
          </rPr>
          <t>See Definitions Worksheet for More Information</t>
        </r>
      </text>
    </comment>
    <comment ref="A25" authorId="0" shapeId="0" xr:uid="{00000000-0006-0000-0400-000003000000}">
      <text>
        <r>
          <rPr>
            <b/>
            <sz val="9"/>
            <color indexed="81"/>
            <rFont val="Tahoma"/>
            <family val="2"/>
          </rPr>
          <t>See Definitions Worksheet for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Lake Trask</author>
  </authors>
  <commentList>
    <comment ref="D4" authorId="0" shapeId="0" xr:uid="{00000000-0006-0000-0500-000001000000}">
      <text>
        <r>
          <rPr>
            <b/>
            <sz val="9"/>
            <color indexed="81"/>
            <rFont val="Tahoma"/>
            <family val="2"/>
          </rPr>
          <t xml:space="preserve">One of the legs is exiting only, i.e. an on-ramp leg.
</t>
        </r>
        <r>
          <rPr>
            <sz val="9"/>
            <color indexed="81"/>
            <rFont val="Tahoma"/>
            <family val="2"/>
          </rPr>
          <t xml:space="preserve">
</t>
        </r>
      </text>
    </comment>
    <comment ref="F4" authorId="0" shapeId="0" xr:uid="{00000000-0006-0000-0500-000002000000}">
      <text>
        <r>
          <rPr>
            <b/>
            <sz val="9"/>
            <color indexed="81"/>
            <rFont val="Tahoma"/>
            <family val="2"/>
          </rPr>
          <t>One of the legs is exiting only, i.e. an on-ramp leg.</t>
        </r>
      </text>
    </comment>
    <comment ref="J4" authorId="0" shapeId="0" xr:uid="{00000000-0006-0000-0500-000003000000}">
      <text>
        <r>
          <rPr>
            <b/>
            <sz val="9"/>
            <color indexed="81"/>
            <rFont val="Tahoma"/>
            <family val="2"/>
          </rPr>
          <t>One of the legs is exiting only, i.e. an on-ramp leg.</t>
        </r>
      </text>
    </comment>
    <comment ref="L4" authorId="0" shapeId="0" xr:uid="{00000000-0006-0000-0500-000004000000}">
      <text>
        <r>
          <rPr>
            <b/>
            <sz val="9"/>
            <color indexed="81"/>
            <rFont val="Tahoma"/>
            <family val="2"/>
          </rPr>
          <t>One of the legs is exiting only, i.e. an on-ramp leg.</t>
        </r>
      </text>
    </comment>
    <comment ref="A26" authorId="0" shapeId="0" xr:uid="{00000000-0006-0000-0500-000005000000}">
      <text>
        <r>
          <rPr>
            <sz val="9"/>
            <color indexed="81"/>
            <rFont val="Tahoma"/>
            <family val="2"/>
          </rPr>
          <t>See Definitions sheet for more information.</t>
        </r>
      </text>
    </comment>
    <comment ref="A28" authorId="0" shapeId="0" xr:uid="{00000000-0006-0000-0500-000006000000}">
      <text>
        <r>
          <rPr>
            <sz val="9"/>
            <color indexed="81"/>
            <rFont val="Tahoma"/>
            <family val="2"/>
          </rPr>
          <t>See the Definitions worksheet for more information.</t>
        </r>
      </text>
    </comment>
    <comment ref="A30" authorId="0" shapeId="0" xr:uid="{00000000-0006-0000-0500-000007000000}">
      <text>
        <r>
          <rPr>
            <sz val="9"/>
            <color indexed="81"/>
            <rFont val="Tahoma"/>
            <family val="2"/>
          </rPr>
          <t>See Definitions worksheet for more information.</t>
        </r>
      </text>
    </comment>
    <comment ref="A31" authorId="0" shapeId="0" xr:uid="{00000000-0006-0000-0500-000008000000}">
      <text>
        <r>
          <rPr>
            <sz val="9"/>
            <color indexed="81"/>
            <rFont val="Tahoma"/>
            <family val="2"/>
          </rPr>
          <t>See definitions worksheet for more information.</t>
        </r>
      </text>
    </comment>
    <comment ref="A32" authorId="0" shapeId="0" xr:uid="{00000000-0006-0000-0500-000009000000}">
      <text>
        <r>
          <rPr>
            <sz val="9"/>
            <color indexed="81"/>
            <rFont val="Tahoma"/>
            <family val="2"/>
          </rPr>
          <t>This input will be disabled if the above input specifies there is no public street intersection &lt;0.05 miles from the intersection.</t>
        </r>
      </text>
    </comment>
    <comment ref="A34" authorId="0" shapeId="0" xr:uid="{00000000-0006-0000-0500-00000A000000}">
      <text>
        <r>
          <rPr>
            <sz val="9"/>
            <color indexed="81"/>
            <rFont val="Tahoma"/>
            <family val="2"/>
          </rPr>
          <t>This input is unused for signalized and minor stop D4 intersections.</t>
        </r>
      </text>
    </comment>
    <comment ref="A40" authorId="0" shapeId="0" xr:uid="{00000000-0006-0000-0500-00000B000000}">
      <text>
        <r>
          <rPr>
            <sz val="9"/>
            <color indexed="81"/>
            <rFont val="Tahoma"/>
            <family val="2"/>
          </rPr>
          <t>See Definitions worksheet for more information.</t>
        </r>
      </text>
    </comment>
    <comment ref="A41" authorId="0" shapeId="0" xr:uid="{00000000-0006-0000-0500-00000C000000}">
      <text>
        <r>
          <rPr>
            <sz val="9"/>
            <color indexed="81"/>
            <rFont val="Tahoma"/>
            <family val="2"/>
          </rPr>
          <t>See Definitions worksheet for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Lake Trask</author>
  </authors>
  <commentList>
    <comment ref="G15" authorId="0" shapeId="0" xr:uid="{00000000-0006-0000-0900-000001000000}">
      <text>
        <r>
          <rPr>
            <b/>
            <sz val="9"/>
            <color indexed="81"/>
            <rFont val="Tahoma"/>
            <family val="2"/>
          </rPr>
          <t>See Table In Definitions Worksheet</t>
        </r>
      </text>
    </comment>
    <comment ref="G16" authorId="0" shapeId="0" xr:uid="{9A8FE601-C251-4EB3-B97F-130723124327}">
      <text>
        <r>
          <rPr>
            <sz val="9"/>
            <color indexed="81"/>
            <rFont val="Tahoma"/>
            <family val="2"/>
          </rPr>
          <t>If "No" the input AADT exceeds the range of the data used to develop one or more of the SPFs, and the resulting predictions should be used with caution.</t>
        </r>
      </text>
    </comment>
    <comment ref="G18" authorId="0" shapeId="0" xr:uid="{FCE84F34-873A-47B1-9E52-8F390A400F36}">
      <text>
        <r>
          <rPr>
            <sz val="9"/>
            <color indexed="81"/>
            <rFont val="Tahoma"/>
            <family val="2"/>
          </rPr>
          <t>If "No" the input AADT exceeds the range of the data used to develop one or more of the SPFs, and the resulting predictions should be used with caution.</t>
        </r>
      </text>
    </comment>
    <comment ref="G20" authorId="0" shapeId="0" xr:uid="{00000000-0006-0000-0900-000002000000}">
      <text>
        <r>
          <rPr>
            <sz val="9"/>
            <color indexed="81"/>
            <rFont val="Tahoma"/>
            <family val="2"/>
          </rPr>
          <t>If "No" the input AADT exceeds the range of the data used to develop one or more of the SPFs, and the resulting predictions should be used with caution.</t>
        </r>
      </text>
    </comment>
    <comment ref="G22" authorId="0" shapeId="0" xr:uid="{88A77301-1C01-4BBB-A98B-2292CDDCC21D}">
      <text>
        <r>
          <rPr>
            <sz val="9"/>
            <color indexed="81"/>
            <rFont val="Tahoma"/>
            <family val="2"/>
          </rPr>
          <t>If "No" the input AADT exceeds the range of the data used to develop one or more of the SPFs, and the resulting predictions should be used with caution.</t>
        </r>
      </text>
    </comment>
    <comment ref="G24" authorId="0" shapeId="0" xr:uid="{00000000-0006-0000-0900-000003000000}">
      <text>
        <r>
          <rPr>
            <sz val="9"/>
            <color indexed="81"/>
            <rFont val="Tahoma"/>
            <family val="2"/>
          </rPr>
          <t>If "No" the input AADT exceeds the range of the data used to develop one or more of the SPFs, and the resulting predictions should be used with caution.</t>
        </r>
      </text>
    </comment>
    <comment ref="G26" authorId="0" shapeId="0" xr:uid="{00000000-0006-0000-0900-000004000000}">
      <text>
        <r>
          <rPr>
            <sz val="9"/>
            <color indexed="81"/>
            <rFont val="Tahoma"/>
            <family val="2"/>
          </rPr>
          <t>If "No" the input AADT exceeds the range of the data used to develop one or more of the SPFs, and the resulting predictions should be used with caution.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Lake Trask</author>
  </authors>
  <commentList>
    <comment ref="G16" authorId="0" shapeId="0" xr:uid="{00000000-0006-0000-0A00-000002000000}">
      <text>
        <r>
          <rPr>
            <sz val="9"/>
            <color indexed="81"/>
            <rFont val="Tahoma"/>
            <family val="2"/>
          </rPr>
          <t>If "No" the input AADT exceeds the range of the data used to develop one or more of the SPFs, and the resulting predictions should be used with caution.</t>
        </r>
      </text>
    </comment>
    <comment ref="G18" authorId="0" shapeId="0" xr:uid="{00000000-0006-0000-0A00-000003000000}">
      <text>
        <r>
          <rPr>
            <sz val="9"/>
            <color indexed="81"/>
            <rFont val="Tahoma"/>
            <family val="2"/>
          </rPr>
          <t>If "No" the input AADT exceeds the range of the data used to develop one or more of the SPFs, and the resulting predictions should be used with caution.</t>
        </r>
      </text>
    </comment>
    <comment ref="G24" authorId="0" shapeId="0" xr:uid="{00000000-0006-0000-0A00-000004000000}">
      <text>
        <r>
          <rPr>
            <sz val="9"/>
            <color indexed="81"/>
            <rFont val="Tahoma"/>
            <family val="2"/>
          </rPr>
          <t>If "No" the input AADT exceeds the range of the data used to develop one or more of the SPFs, and the resulting predictions should be used with caution.</t>
        </r>
      </text>
    </comment>
  </commentList>
</comments>
</file>

<file path=xl/sharedStrings.xml><?xml version="1.0" encoding="utf-8"?>
<sst xmlns="http://schemas.openxmlformats.org/spreadsheetml/2006/main" count="1720" uniqueCount="502">
  <si>
    <t>Federal Highway Administration (FHWA)</t>
  </si>
  <si>
    <t>Introduction</t>
  </si>
  <si>
    <t>Required data entry field</t>
  </si>
  <si>
    <t>Optional data entry field</t>
  </si>
  <si>
    <t>Data entry field not used</t>
  </si>
  <si>
    <t>Overview</t>
  </si>
  <si>
    <t xml:space="preserve">Maintenance </t>
  </si>
  <si>
    <t>Project Name:</t>
  </si>
  <si>
    <t>Project Reference:</t>
  </si>
  <si>
    <t>City:</t>
  </si>
  <si>
    <t>State:</t>
  </si>
  <si>
    <t>Date:</t>
  </si>
  <si>
    <t>Analyst:</t>
  </si>
  <si>
    <t>Project Information</t>
  </si>
  <si>
    <t>Intersection:</t>
  </si>
  <si>
    <t xml:space="preserve">Agency: </t>
  </si>
  <si>
    <t>Worksheets</t>
  </si>
  <si>
    <t>Input Legend</t>
  </si>
  <si>
    <t>Conventional Traffic Signal</t>
  </si>
  <si>
    <t>Three-leg terminals with diagonal exit ramp (D3ex)</t>
  </si>
  <si>
    <t>Three-leg terminals with diagonal entrance ramp (D3en)</t>
  </si>
  <si>
    <t>Four-leg terminals with diagonal ramps (D4)</t>
  </si>
  <si>
    <t>Four-leg terminals at four-quadrant parclo A (A4)</t>
  </si>
  <si>
    <t>Four-leg terminals at four-quadrant parclo B (B4)</t>
  </si>
  <si>
    <t>Three-leg terminals at two-quadrant parclo A (A2)</t>
  </si>
  <si>
    <t>Three-leg terminals at two-quadrant parclo B (B2)</t>
  </si>
  <si>
    <t>Crossover Traffic Signal (of Diverging Diamond Interchange)</t>
  </si>
  <si>
    <t>All types</t>
  </si>
  <si>
    <t>Single-Point Diamond Traffic Signal</t>
  </si>
  <si>
    <t>Minor Road (ramp) Stop</t>
  </si>
  <si>
    <t>Roundabout</t>
  </si>
  <si>
    <t>1-lane roundabout with 3 legs</t>
  </si>
  <si>
    <t>1-lane roundabout with 4 legs</t>
  </si>
  <si>
    <t>2-lane roundabout with 3 legs</t>
  </si>
  <si>
    <t>2-lane roundabout with 4 legs</t>
  </si>
  <si>
    <t>Control</t>
  </si>
  <si>
    <t>Facility Type</t>
  </si>
  <si>
    <t># legs</t>
  </si>
  <si>
    <t>1 way/ 2 way</t>
  </si>
  <si>
    <t># of lanes on arterial</t>
  </si>
  <si>
    <t>Skew Angle</t>
  </si>
  <si>
    <t>Lighting Present</t>
  </si>
  <si>
    <t>Red Light Cameras Present</t>
  </si>
  <si>
    <t>Traffic Signal</t>
  </si>
  <si>
    <t>On Rural Two Lane Highway</t>
  </si>
  <si>
    <t>3 leg</t>
  </si>
  <si>
    <t>-</t>
  </si>
  <si>
    <t>4 leg</t>
  </si>
  <si>
    <t>On Rural Multilane Highway</t>
  </si>
  <si>
    <t>On Urban and Suburban Arterial</t>
  </si>
  <si>
    <t>2x2</t>
  </si>
  <si>
    <t>5 or fewer</t>
  </si>
  <si>
    <t>6 or more</t>
  </si>
  <si>
    <t>1x2</t>
  </si>
  <si>
    <t>1x1</t>
  </si>
  <si>
    <t>On High Speed (50+ MPH) Urban and Suburban Arterial</t>
  </si>
  <si>
    <t>Minor Road Stop</t>
  </si>
  <si>
    <t>All-Way Stop</t>
  </si>
  <si>
    <t>1-lane roundabout</t>
  </si>
  <si>
    <t>2-lane roundabout</t>
  </si>
  <si>
    <t>Signalized Restricted Crossing U-Turn (RCUT), also known Superstreet</t>
  </si>
  <si>
    <t>Unsignalized Restricted Crossing U-Turn (RCUT), also known as J-Turn</t>
  </si>
  <si>
    <t>Jughandles</t>
  </si>
  <si>
    <t>Ramp and Intersection Type</t>
  </si>
  <si>
    <t>Crossroad AADT</t>
  </si>
  <si>
    <t>Ramp AADT</t>
  </si>
  <si>
    <t># of Crossroad Lanes</t>
  </si>
  <si>
    <t>Crossroad Left Turn Lane Present?</t>
  </si>
  <si>
    <t>Crossroad Right Turn Lane Present?</t>
  </si>
  <si>
    <t>At-Grade Intersections</t>
  </si>
  <si>
    <t>All Way Stop</t>
  </si>
  <si>
    <t>Alternative Selection Sheet</t>
  </si>
  <si>
    <t>Ramp Terminal Intersections</t>
  </si>
  <si>
    <t>At-Grade Intersctions</t>
  </si>
  <si>
    <t>Number of Legs</t>
  </si>
  <si>
    <t>3-leg</t>
  </si>
  <si>
    <t>4-leg</t>
  </si>
  <si>
    <t>1-way/2-way</t>
  </si>
  <si>
    <t>Number of Lanes</t>
  </si>
  <si>
    <t>Not Applicable</t>
  </si>
  <si>
    <t>Type</t>
  </si>
  <si>
    <t>Predictive Inputs</t>
  </si>
  <si>
    <t>Provide inputs needed to compute and apply Part C CMFs.</t>
  </si>
  <si>
    <t>Results</t>
  </si>
  <si>
    <t>Crash Prediction Summary</t>
  </si>
  <si>
    <t>Opening Year</t>
  </si>
  <si>
    <t>Design Year</t>
  </si>
  <si>
    <t>Total Project Life Cycle</t>
  </si>
  <si>
    <t xml:space="preserve">Yes </t>
  </si>
  <si>
    <t>No</t>
  </si>
  <si>
    <t>Max # of Lanes Crossed by Pedestrians</t>
  </si>
  <si>
    <t>Protected</t>
  </si>
  <si>
    <t>Permissive</t>
  </si>
  <si>
    <t>Safety Performance for Intersection Control Evaluation Tool</t>
  </si>
  <si>
    <t>Planning-Level Default Input</t>
  </si>
  <si>
    <t>Number of Alternatives</t>
  </si>
  <si>
    <t>Analysis Year</t>
  </si>
  <si>
    <t>Opening Year Only</t>
  </si>
  <si>
    <t>Opening and Design Year</t>
  </si>
  <si>
    <t>Freeway Orientation</t>
  </si>
  <si>
    <t>North-South</t>
  </si>
  <si>
    <t>East-West</t>
  </si>
  <si>
    <t>Traffic Control</t>
  </si>
  <si>
    <t>SPF Calibration Factor</t>
  </si>
  <si>
    <t>Alternative</t>
  </si>
  <si>
    <t>At-Grade Intersection Inputs</t>
  </si>
  <si>
    <t>Intersection Type</t>
  </si>
  <si>
    <t xml:space="preserve">Ramp Terminal  </t>
  </si>
  <si>
    <t>Ramp Terminal Inputs</t>
  </si>
  <si>
    <t>NB</t>
  </si>
  <si>
    <t>SB</t>
  </si>
  <si>
    <t>Left Turn Phasing</t>
  </si>
  <si>
    <t>Minor Road (Ramp) Stop</t>
  </si>
  <si>
    <t>At-Grade Intersection SPFs</t>
  </si>
  <si>
    <t>Summary of crash prediction results for each alternative</t>
  </si>
  <si>
    <t>Median U-Turn (MUT)</t>
  </si>
  <si>
    <t>Type of Crashes</t>
  </si>
  <si>
    <t>Total</t>
  </si>
  <si>
    <t>Fatal-Injury</t>
  </si>
  <si>
    <t>Opening Year Major Road AADT</t>
  </si>
  <si>
    <t>Opening Year Minor Road AADT</t>
  </si>
  <si>
    <t>Design Year Major Road AADT</t>
  </si>
  <si>
    <t>Design Year Minor Road AADT</t>
  </si>
  <si>
    <t>Traffic Control (both intersections)</t>
  </si>
  <si>
    <t>1-lane Roundabout</t>
  </si>
  <si>
    <t>2-lane Roundabout</t>
  </si>
  <si>
    <t>Jughandle</t>
  </si>
  <si>
    <t>Number of Approaches with Right-Turn-on-Red Prohibited</t>
  </si>
  <si>
    <t>Protected/Permissive or Permissive/Protected</t>
  </si>
  <si>
    <t>All yellow cells will be automatically populated by a macro. If users want to do a planning-level analysis, they can leave the automatic inputs as-is</t>
  </si>
  <si>
    <t>Area Type</t>
  </si>
  <si>
    <t>Urban</t>
  </si>
  <si>
    <t>Rural</t>
  </si>
  <si>
    <t>Other CMF Inputs</t>
  </si>
  <si>
    <r>
      <rPr>
        <b/>
        <sz val="10"/>
        <color rgb="FF000000"/>
        <rFont val="Calibri"/>
        <family val="2"/>
        <scheme val="minor"/>
      </rPr>
      <t>Project Information:</t>
    </r>
    <r>
      <rPr>
        <sz val="10"/>
        <color rgb="FF000000"/>
        <rFont val="Calibri"/>
        <family val="2"/>
        <scheme val="minor"/>
      </rPr>
      <t xml:space="preserve"> Provide general project information for reference purposes only.</t>
    </r>
  </si>
  <si>
    <r>
      <rPr>
        <b/>
        <sz val="10"/>
        <color rgb="FF000000"/>
        <rFont val="Calibri"/>
        <family val="2"/>
        <scheme val="minor"/>
      </rPr>
      <t>Results:</t>
    </r>
    <r>
      <rPr>
        <sz val="10"/>
        <color rgb="FF000000"/>
        <rFont val="Calibri"/>
        <family val="2"/>
        <scheme val="minor"/>
      </rPr>
      <t xml:space="preserve"> Summary of opening year and (if applicable) design year and total project life cycle crash frequency and crash severity. </t>
    </r>
  </si>
  <si>
    <r>
      <rPr>
        <b/>
        <sz val="10"/>
        <color rgb="FF000000"/>
        <rFont val="Calibri"/>
        <family val="2"/>
        <scheme val="minor"/>
      </rPr>
      <t>Additional Worksheets</t>
    </r>
    <r>
      <rPr>
        <sz val="10"/>
        <color rgb="FF000000"/>
        <rFont val="Calibri"/>
        <family val="2"/>
        <scheme val="minor"/>
      </rPr>
      <t xml:space="preserve">: Additional worksheets to support the underlying Macros. Not to be updated by users unless updating future tool versions. </t>
    </r>
  </si>
  <si>
    <t>Signalized Restricted Crossing U-Turn (RCUT)</t>
  </si>
  <si>
    <t>Unsignalized Restricted Crossing U-Turn (RCUT)</t>
  </si>
  <si>
    <t>Control Strategy</t>
  </si>
  <si>
    <t>Include</t>
  </si>
  <si>
    <t>N/A</t>
  </si>
  <si>
    <t>Crossover Traffic Signal (of DDI)</t>
  </si>
  <si>
    <t>At-Grade Selections</t>
  </si>
  <si>
    <t>Control Strategies</t>
  </si>
  <si>
    <t>Signalized RCUT</t>
  </si>
  <si>
    <t>Unsignalized RCUT</t>
  </si>
  <si>
    <t>Optional AADT Overrides</t>
  </si>
  <si>
    <t>Major Street Approach Speed</t>
  </si>
  <si>
    <t>Facility Types</t>
  </si>
  <si>
    <t>Ramp Terminal Interchanges</t>
  </si>
  <si>
    <t>CMF - No Inputs Required</t>
  </si>
  <si>
    <t>2-way Intersecting 2-way</t>
  </si>
  <si>
    <t>1-way Intersecting 2-way</t>
  </si>
  <si>
    <t>1-way Intersecting 1-way</t>
  </si>
  <si>
    <t>Additional Required Control Strategy Inputs</t>
  </si>
  <si>
    <t>Use this button to clear all inputs/outputs and reset the tool to its initial defaults</t>
  </si>
  <si>
    <t>Do not include stop controlled approaches for minor stop</t>
  </si>
  <si>
    <t>55+ mph</t>
  </si>
  <si>
    <t>Number of Approaches with U-Turn Prohibited</t>
  </si>
  <si>
    <t># of Major St Approaches w/ Right-Turn Channelization</t>
  </si>
  <si>
    <t># of Approaches Permissive LT Signal Phasing</t>
  </si>
  <si>
    <t># of Approaches Protected LT Signal Phasing</t>
  </si>
  <si>
    <t>A yellow cell indicates the value may be used in the SPF computation</t>
  </si>
  <si>
    <t>Pedestrian Volume by Activity Level</t>
  </si>
  <si>
    <t>Pedestrian Activity</t>
  </si>
  <si>
    <t>Other - Enter Below</t>
  </si>
  <si>
    <t>Yes</t>
  </si>
  <si>
    <t>Crash Type</t>
  </si>
  <si>
    <t>Fatal &amp; Injury</t>
  </si>
  <si>
    <t>Default CMF</t>
  </si>
  <si>
    <t>Optional User Override</t>
  </si>
  <si>
    <t>Use Value</t>
  </si>
  <si>
    <t>High (1,700)</t>
  </si>
  <si>
    <t>Medium High (750)</t>
  </si>
  <si>
    <t>Medium (400)</t>
  </si>
  <si>
    <t>Medium Low (120)</t>
  </si>
  <si>
    <t>Low (20)</t>
  </si>
  <si>
    <t>3-Leg</t>
  </si>
  <si>
    <t>4-Leg</t>
  </si>
  <si>
    <t>High</t>
  </si>
  <si>
    <t>Medium</t>
  </si>
  <si>
    <t>Low</t>
  </si>
  <si>
    <t>Med High</t>
  </si>
  <si>
    <t>Med Low</t>
  </si>
  <si>
    <t>1-Way/2-Way</t>
  </si>
  <si>
    <t>Input</t>
  </si>
  <si>
    <t>Default Calibration Factor</t>
  </si>
  <si>
    <t>Rank</t>
  </si>
  <si>
    <t>FI</t>
  </si>
  <si>
    <t>Ranking Priority</t>
  </si>
  <si>
    <t>Total Crashes</t>
  </si>
  <si>
    <t>Fatal/Injury Crashes</t>
  </si>
  <si>
    <t># of Major Street Lanes (both directions)</t>
  </si>
  <si>
    <t>Use Val (open vs design)</t>
  </si>
  <si>
    <t>Less than 55 mph</t>
  </si>
  <si>
    <t>Traffic Signal
(For more information on determining signal type, refer to the "Definitions" worksheet)</t>
  </si>
  <si>
    <t>Number of Uncontrolled Approaches with Left-Turn Lanes</t>
  </si>
  <si>
    <t>Number of Approaches with Right-Turn Lanes</t>
  </si>
  <si>
    <t>Number of Approaches with Left-Turn Lanes</t>
  </si>
  <si>
    <t>Other (Please Specify)</t>
  </si>
  <si>
    <t>Traffic Signal #1</t>
  </si>
  <si>
    <t>Traffic Signal #2</t>
  </si>
  <si>
    <t>Other 1</t>
  </si>
  <si>
    <t>Other 2</t>
  </si>
  <si>
    <t>Traffic Signal (Alternative Configuration)</t>
  </si>
  <si>
    <t>Other Intersection #1</t>
  </si>
  <si>
    <t>Other Intersection #2</t>
  </si>
  <si>
    <t>Base Intersection</t>
  </si>
  <si>
    <t>--</t>
  </si>
  <si>
    <t>Design</t>
  </si>
  <si>
    <t>2-6  (5,6 Urban only)</t>
  </si>
  <si>
    <t>Exit ramp right turn control</t>
  </si>
  <si>
    <t>mergeRT</t>
  </si>
  <si>
    <t>Planning</t>
  </si>
  <si>
    <t>Merge/FF or Signal/Stop/yeild-controlled</t>
  </si>
  <si>
    <t>nex</t>
  </si>
  <si>
    <t>1-2, see graphic</t>
  </si>
  <si>
    <t>Yes/No (&lt;100 ft?)</t>
  </si>
  <si>
    <t>Number of Stop-controlled public street approaches to the crossroad leg outside of the interchange and within 250 feet of the ramp terminal</t>
  </si>
  <si>
    <t>n_ps</t>
  </si>
  <si>
    <t>Integer</t>
  </si>
  <si>
    <t>Number of Stop-controlled driveways to the crossroad leg outside of the interchange and within 250 feet of the ramp terminal</t>
  </si>
  <si>
    <t>n_dw</t>
  </si>
  <si>
    <t>Distance between subject ramp terminal and adjacent ramp terminal (from terminal center to terminal center)</t>
  </si>
  <si>
    <t>distance between subject ramp terminal and nearest public road intersection in a direction away form the freeway</t>
  </si>
  <si>
    <t>l_rmp</t>
  </si>
  <si>
    <t>l_str</t>
  </si>
  <si>
    <t>Double</t>
  </si>
  <si>
    <t>Width of median adjacent to turn lane for crossroad leg</t>
  </si>
  <si>
    <t>w_m</t>
  </si>
  <si>
    <t>Left-turn lane width for "in" crossroad leg</t>
  </si>
  <si>
    <t>Left-turn lane width for "out" crossroad leg</t>
  </si>
  <si>
    <t>w_bkIn</t>
  </si>
  <si>
    <t>w_bkOut</t>
  </si>
  <si>
    <t>Double (0.0 if not present)</t>
  </si>
  <si>
    <t>Number of through traffic lanes that oppose the left-turn movement on the crossroad leg "in"</t>
  </si>
  <si>
    <t>Number of through traffic lanes that oppose the left-turn movement on the crossroad leg "out"</t>
  </si>
  <si>
    <t>n_oppLTIn</t>
  </si>
  <si>
    <t>n_oppLTOut</t>
  </si>
  <si>
    <t>Protected Left-turn operation indicator for crossroad leg "in"</t>
  </si>
  <si>
    <t>Protected Left-turn operation indicator for crossroad leg "out"</t>
  </si>
  <si>
    <t>i_protLTIn</t>
  </si>
  <si>
    <t>i_protLTOut</t>
  </si>
  <si>
    <t>Boolean</t>
  </si>
  <si>
    <t>Right turn channelization indicator for crossroad leg "in"</t>
  </si>
  <si>
    <t>Right turn channelization indicator for crossroad leg "out"</t>
  </si>
  <si>
    <t>Right turn channelization indicator for exit ramp</t>
  </si>
  <si>
    <t>i_crtIn</t>
  </si>
  <si>
    <t>i_crtOut</t>
  </si>
  <si>
    <t>i_crtEx</t>
  </si>
  <si>
    <t>Non-ramp public street leg indicator</t>
  </si>
  <si>
    <t>i_ps</t>
  </si>
  <si>
    <t>Presence of left-turn bay on "in" leg</t>
  </si>
  <si>
    <t>Presence of left-turn bay on "out" leg</t>
  </si>
  <si>
    <t>Presence of right-turn bay on "in" leg</t>
  </si>
  <si>
    <t>Presence of right-turn bay on "out" leg</t>
  </si>
  <si>
    <t>i_LTBayIn</t>
  </si>
  <si>
    <t>i_LTBayOut</t>
  </si>
  <si>
    <t>i_RTBayIn</t>
  </si>
  <si>
    <t>i_RTBayOut</t>
  </si>
  <si>
    <t>skew</t>
  </si>
  <si>
    <t>Effective number of lanes serving exit ramp</t>
  </si>
  <si>
    <t>FDOT</t>
  </si>
  <si>
    <t>Empty</t>
  </si>
  <si>
    <t>Default Calibration ReferenceCalibration</t>
  </si>
  <si>
    <t>Select From the Dropdown Menu:</t>
  </si>
  <si>
    <t>Future1</t>
  </si>
  <si>
    <t>Future2</t>
  </si>
  <si>
    <t>Part C CMFs
Optional For Stage 1 ICE, Required for Stage 2 ICE</t>
  </si>
  <si>
    <t>Number of Major Street Through Lanes</t>
  </si>
  <si>
    <t>Number of Minor Street Lanes</t>
  </si>
  <si>
    <t>Control Strategy Selection</t>
  </si>
  <si>
    <t>3ST</t>
  </si>
  <si>
    <t>4ST</t>
  </si>
  <si>
    <t>3SG</t>
  </si>
  <si>
    <t>Min</t>
  </si>
  <si>
    <t>Max</t>
  </si>
  <si>
    <t>Major Road AADT</t>
  </si>
  <si>
    <t>Minor Road AADT</t>
  </si>
  <si>
    <t>4SG</t>
  </si>
  <si>
    <t>Opening</t>
  </si>
  <si>
    <t>AADT Within Range?</t>
  </si>
  <si>
    <t>Included</t>
  </si>
  <si>
    <t xml:space="preserve">Total </t>
  </si>
  <si>
    <t>PDO</t>
  </si>
  <si>
    <t>Ped</t>
  </si>
  <si>
    <t>Intersetion Type</t>
  </si>
  <si>
    <t>Years of Data</t>
  </si>
  <si>
    <t>Average Crashes (per year)</t>
  </si>
  <si>
    <t>Historical Crash Data (Sum Over All Years)</t>
  </si>
  <si>
    <t>Traffic Signal or Minor Road Stop</t>
  </si>
  <si>
    <t>4 Leg Terminal w/ Diagonal Ramps (D4)</t>
  </si>
  <si>
    <t>Traffic Signal (Alt)</t>
  </si>
  <si>
    <t>Include in MRS</t>
  </si>
  <si>
    <t>Not/ Applicable</t>
  </si>
  <si>
    <t>Include in TS</t>
  </si>
  <si>
    <t>Conventional Traffic Signal (Alt)</t>
  </si>
  <si>
    <t>Merge/Free Flow</t>
  </si>
  <si>
    <t>Median Width (ft)</t>
  </si>
  <si>
    <t>Future3</t>
  </si>
  <si>
    <t>Predicted</t>
  </si>
  <si>
    <t>Expected</t>
  </si>
  <si>
    <t>Observed</t>
  </si>
  <si>
    <t>Based on SPF only</t>
  </si>
  <si>
    <t>Based on SPF w/ EB applied</t>
  </si>
  <si>
    <t>Historical crash data</t>
  </si>
  <si>
    <t>Historical Crashes Year 1</t>
  </si>
  <si>
    <t>Historical Crashes Year 2</t>
  </si>
  <si>
    <t>Historical Crashes Year 3</t>
  </si>
  <si>
    <t>Historical Crashes Year 4</t>
  </si>
  <si>
    <t>Historical Crashes Year 5</t>
  </si>
  <si>
    <t>Presence of right-turn lane/bay on "in" leg</t>
  </si>
  <si>
    <t>Is a non-ramp public street leg present?</t>
  </si>
  <si>
    <t>CMF Inputs</t>
  </si>
  <si>
    <t>Distance (mi) to the next public street intersection on the outside crossroad leg</t>
  </si>
  <si>
    <t>Opening Year AADT</t>
  </si>
  <si>
    <t>Design Year AADT</t>
  </si>
  <si>
    <t>Crossroad - Inside Leg</t>
  </si>
  <si>
    <t>Crossroad - Outside Leg</t>
  </si>
  <si>
    <t>Exit Ramp</t>
  </si>
  <si>
    <t>Right turn channelization for exit ramp</t>
  </si>
  <si>
    <t>User Input Variable</t>
  </si>
  <si>
    <t>Units</t>
  </si>
  <si>
    <t>Definition</t>
  </si>
  <si>
    <t>Applicable Ranges</t>
  </si>
  <si>
    <t>Range for:</t>
  </si>
  <si>
    <t>Lower Limit</t>
  </si>
  <si>
    <t>Upper Limit</t>
  </si>
  <si>
    <t>Number of Major Street Lanes</t>
  </si>
  <si>
    <t>lanes</t>
  </si>
  <si>
    <t>degrees</t>
  </si>
  <si>
    <t>Number of through lanes on the major street (both directions - includes shared through lanes)</t>
  </si>
  <si>
    <t>Number of lanes on the minor street (both directions - does not include turn lanes)</t>
  </si>
  <si>
    <t>Ramp Terminal Intersection Inputs</t>
  </si>
  <si>
    <t>Crossroad</t>
  </si>
  <si>
    <t>References the major street of the ramp terminal intersection (i.e., the non-ramp terminal legs)</t>
  </si>
  <si>
    <t>veh/day</t>
  </si>
  <si>
    <t>Stop-Controlled</t>
  </si>
  <si>
    <t>Signalized</t>
  </si>
  <si>
    <t>AADT volume of the crossroad leg located outside of the interchange</t>
  </si>
  <si>
    <t>AADT volume of the exit ramp</t>
  </si>
  <si>
    <t>AADT volume of the entrance ramp</t>
  </si>
  <si>
    <t>Median Width</t>
  </si>
  <si>
    <t>feet</t>
  </si>
  <si>
    <r>
      <t>Width of crossroad median measured from near edges of traveled way in both travel directions (</t>
    </r>
    <r>
      <rPr>
        <i/>
        <sz val="11"/>
        <color theme="1"/>
        <rFont val="Calibri"/>
        <family val="2"/>
        <scheme val="minor"/>
      </rPr>
      <t>hover cursor for graphical representation</t>
    </r>
    <r>
      <rPr>
        <sz val="11"/>
        <color theme="1"/>
        <rFont val="Calibri"/>
        <family val="2"/>
        <scheme val="minor"/>
      </rPr>
      <t>)</t>
    </r>
  </si>
  <si>
    <r>
      <t>Width of crossroad left-turn lane (</t>
    </r>
    <r>
      <rPr>
        <i/>
        <sz val="11"/>
        <color theme="1"/>
        <rFont val="Calibri"/>
        <family val="2"/>
        <scheme val="minor"/>
      </rPr>
      <t>hover cursor for graphical representation</t>
    </r>
    <r>
      <rPr>
        <sz val="11"/>
        <color theme="1"/>
        <rFont val="Calibri"/>
        <family val="2"/>
        <scheme val="minor"/>
      </rPr>
      <t>)</t>
    </r>
  </si>
  <si>
    <t>Major/Minor Road AADT</t>
  </si>
  <si>
    <t>Average annual daily traffic (AADT) volume for the major and minor street approaches (see table for ranges).</t>
  </si>
  <si>
    <t>AADT Within Prediction Range?</t>
  </si>
  <si>
    <t>Urban and Suburban Arterials</t>
  </si>
  <si>
    <t>Rural Two-Lane Highway</t>
  </si>
  <si>
    <t>Rural Multilane Highway</t>
  </si>
  <si>
    <t>2x2 6+ Lanes</t>
  </si>
  <si>
    <t>2x2 5 or Fewer Lanes</t>
  </si>
  <si>
    <t>At-Grade AADT Ranges for Traffic Signals and Minor Stops</t>
  </si>
  <si>
    <t>All</t>
  </si>
  <si>
    <t># of driveways (or public street approaches) on the crossroad leg outside of the interchange</t>
  </si>
  <si>
    <t>Definitions of values and variables required for SPICE analysis.</t>
  </si>
  <si>
    <t>Number of through lanes on crossroad outside leg that oppose crossroad inside leg left-turn movement</t>
  </si>
  <si>
    <t>Number of through traffic lanes that oppose the left-turn movement on the inside crossroad leg</t>
  </si>
  <si>
    <t>Left-turn lane (bay) Width for crossroad leg</t>
  </si>
  <si>
    <t>Presence of left-turn lane/bay on inside crossroad leg</t>
  </si>
  <si>
    <t>Presence of right-turn lane/bay on outside crossroad leg</t>
  </si>
  <si>
    <t>Number of unsignalized driveways on the outside crossroad leg within 250' of the interchange</t>
  </si>
  <si>
    <t>Number of through traffic lanes that oppose the left-turn movement on the outside crossroad leg</t>
  </si>
  <si>
    <t>Number of Crossroad Lanes</t>
  </si>
  <si>
    <t>Entrance Ramp</t>
  </si>
  <si>
    <t>Left-turn lane/bay Width for inside crossroad leg</t>
  </si>
  <si>
    <t>Left-turn lane/bay Width for outside crossroad leg</t>
  </si>
  <si>
    <t>Right turn channelization for inside crossroad leg</t>
  </si>
  <si>
    <t>Right turn channelization for outside crossroad leg</t>
  </si>
  <si>
    <t>Presence of Non-Ramp Public Street Leg</t>
  </si>
  <si>
    <t>yes/no</t>
  </si>
  <si>
    <t>miles</t>
  </si>
  <si>
    <t>Distance between subject ramp terminal and nearest public road intersection in a direction away form freeway; measured along the crossroad form terminal center to intersection center (mi).</t>
  </si>
  <si>
    <t># of unsignalized public street approaches on the outside crossroad leg within 250' (&lt;0.05 mi) of the interchange</t>
  </si>
  <si>
    <t>Distance between subject ramp terminal and adjacent ramp terminal; measured along the crossroad from terminal center to terminal center (mi).</t>
  </si>
  <si>
    <t>Protected Left-turn operation for inside crossroad leg</t>
  </si>
  <si>
    <t>Protected Left-turn operation for outside crossroad leg</t>
  </si>
  <si>
    <t>Protected operation for crossroad leg</t>
  </si>
  <si>
    <t>Exit Ramp Skew Angle</t>
  </si>
  <si>
    <r>
      <t>Skew angle equals 90 minus the intersection angle (in degrees) (</t>
    </r>
    <r>
      <rPr>
        <i/>
        <sz val="11"/>
        <color theme="1"/>
        <rFont val="Calibri"/>
        <family val="2"/>
        <scheme val="minor"/>
      </rPr>
      <t>hover cursor for graphical representation</t>
    </r>
    <r>
      <rPr>
        <sz val="11"/>
        <color theme="1"/>
        <rFont val="Calibri"/>
        <family val="2"/>
        <scheme val="minor"/>
      </rPr>
      <t>).</t>
    </r>
  </si>
  <si>
    <t>Highway Safety Manual Part C CMF Inputs</t>
  </si>
  <si>
    <t xml:space="preserve"> Signal/Stop/yield-controlled</t>
  </si>
  <si>
    <t>Distance (mi) to the adjacent ramp terminal</t>
  </si>
  <si>
    <t>"Yes" if a crossroad leg (inside or outside) has protected left-turn operation.  "No" if the crossroad leg has permissive or permissive-protected operation</t>
  </si>
  <si>
    <t>XRD IN</t>
  </si>
  <si>
    <t>XRD Out</t>
  </si>
  <si>
    <t>EXIT</t>
  </si>
  <si>
    <t>ENTR</t>
  </si>
  <si>
    <t>Terminal 1</t>
  </si>
  <si>
    <t>Terminal 2</t>
  </si>
  <si>
    <t>Ramp Terminal "Other" Base Intersections</t>
  </si>
  <si>
    <r>
      <t xml:space="preserve">Intersecting angle between major street and minor street approaches </t>
    </r>
    <r>
      <rPr>
        <i/>
        <sz val="11"/>
        <color theme="1"/>
        <rFont val="Calibri"/>
        <family val="2"/>
        <scheme val="minor"/>
      </rPr>
      <t>(hover cursor for graphical representation)</t>
    </r>
  </si>
  <si>
    <r>
      <t>Varies depending on exit ramp configuration (</t>
    </r>
    <r>
      <rPr>
        <i/>
        <sz val="11"/>
        <color theme="1"/>
        <rFont val="Calibri"/>
        <family val="2"/>
        <scheme val="minor"/>
      </rPr>
      <t>hover cursor for graphical representation of n</t>
    </r>
    <r>
      <rPr>
        <i/>
        <vertAlign val="subscript"/>
        <sz val="11"/>
        <color theme="1"/>
        <rFont val="Calibri"/>
        <family val="2"/>
        <scheme val="minor"/>
      </rPr>
      <t>ex,eff</t>
    </r>
    <r>
      <rPr>
        <sz val="11"/>
        <color theme="1"/>
        <rFont val="Calibri"/>
        <family val="2"/>
        <scheme val="minor"/>
      </rPr>
      <t>)</t>
    </r>
  </si>
  <si>
    <t>Optional - Override default CMFs with locally-developed or new CMFs</t>
  </si>
  <si>
    <t>All strategies will have the same AADT as the Base Conditions unless overridden by user.</t>
  </si>
  <si>
    <t>Presence of left-turn lane/bay on outside crossroad leg</t>
  </si>
  <si>
    <t>Number of Uncontrolled Approaches with Right-Turn Lanes</t>
  </si>
  <si>
    <t>Maintained By: Jeff Shaw, FHWA Office of Safety</t>
  </si>
  <si>
    <t># of Major Street Lanes</t>
  </si>
  <si>
    <t>Inscribed Circle Diameter (ft)</t>
  </si>
  <si>
    <t>Leg 1 (Major Leg #1)</t>
  </si>
  <si>
    <t>Leg 2 (Major Leg #2)</t>
  </si>
  <si>
    <t>Entering Width (ft)</t>
  </si>
  <si>
    <t>Leg has Right-Turn Bypass</t>
  </si>
  <si>
    <t>Leg 3 (Minor Leg #1)</t>
  </si>
  <si>
    <t>Leg 4 (Minor Leg #2)</t>
  </si>
  <si>
    <t>Opening Year Entering AADT</t>
  </si>
  <si>
    <t>Single Lane Roundaobut</t>
  </si>
  <si>
    <t>Two-Lane Roundaobut</t>
  </si>
  <si>
    <t># of Entering Lanes</t>
  </si>
  <si>
    <t># of Access Points within 250' of Yield Line</t>
  </si>
  <si>
    <t># of Circulating Lanes</t>
  </si>
  <si>
    <t>Roundabout CMF Inputs</t>
  </si>
  <si>
    <t>3Leg</t>
  </si>
  <si>
    <t>4Leg</t>
  </si>
  <si>
    <t>1 Circulating Lane</t>
  </si>
  <si>
    <t>2 Circulating Lanes</t>
  </si>
  <si>
    <t>Inscribed Circle Diameter</t>
  </si>
  <si>
    <t>Entering Width</t>
  </si>
  <si>
    <t>Number of Circulating Lanes</t>
  </si>
  <si>
    <t>Number of Entering Lanes</t>
  </si>
  <si>
    <t>Outbound Only Leg</t>
  </si>
  <si>
    <t>Leg 2 (Major Leg #1)</t>
  </si>
  <si>
    <t>High Speed (55+ mph)</t>
  </si>
  <si>
    <t>3AWST</t>
  </si>
  <si>
    <t>4AWST</t>
  </si>
  <si>
    <t>Number of free-flow right turns from exit ramp to crossroad</t>
  </si>
  <si>
    <t>Both Ramps</t>
  </si>
  <si>
    <t>Single Point Diamond</t>
  </si>
  <si>
    <t>Suburban</t>
  </si>
  <si>
    <t>Facility Subtype (Roundabout)</t>
  </si>
  <si>
    <t>(SPF not available)</t>
  </si>
  <si>
    <t>Facility Secondary Type (For Roundabouts Only)</t>
  </si>
  <si>
    <t>Safety Performance for Intersection Control Evaluation</t>
  </si>
  <si>
    <t>If the input AADT exceeds the range of the data used to develop one or more of the SPFs, the resulting predictions should be used with caution.</t>
  </si>
  <si>
    <r>
      <rPr>
        <b/>
        <sz val="10"/>
        <color theme="1"/>
        <rFont val="Arial"/>
        <family val="2"/>
      </rPr>
      <t xml:space="preserve">Note: </t>
    </r>
    <r>
      <rPr>
        <sz val="10"/>
        <color theme="1"/>
        <rFont val="Arial"/>
        <family val="2"/>
      </rPr>
      <t>The CMFs associated with roundabouts differentiate between urban and suburban areas, while the SPFs and CMFs for all other intersections do not.</t>
    </r>
  </si>
  <si>
    <t>This value is computed as the difference between Leg 1's entering AADT and the Opening Year Major AADT value entred on the Control Strategy Selection tab.</t>
  </si>
  <si>
    <t>This value is computed as the difference between Leg 3's entering AADT and the Opening Year Minor AADT value entred on the Control Strategy Selection tab.</t>
  </si>
  <si>
    <t>Calibration 
(Optional - Input locally-developed calibration factors for SPFs. )</t>
  </si>
  <si>
    <t>AADT Within range?
(Refer to Definitions Tab)</t>
  </si>
  <si>
    <t>Contact: jeffrey.shaw@dot.gov   708-283-3524</t>
  </si>
  <si>
    <t>Worksheet Password: kai123</t>
  </si>
  <si>
    <t>The Safety Performance for Intersection Control Evaluation (SPICE) Tool was developed to assist practitioners with conducting intersection safety analysis during the scoping and screening stages of project development. This tool will allow analysts preparing Intersection Control Evaluations (ICE) to consider predictive safety performance as a basis for recommending alternatives for further study. The SPICE Tool utilizes Safety Performance Functions (SPFs) and crash modification factors (CMFs) primarily from the AASHTO Highway Safety Manual and the FHWA Crash Modification Factor Clearinghouse, but other sources have been used where necessary (citations can be found in the corresponding User Guide). The SPICE Tool provides a means to consider safety performance alongside other performance metrics, including quality of service, construction and maintenance costs, project context, and other factors.</t>
  </si>
  <si>
    <t>Limited Warranty and Limitations of Remedies</t>
  </si>
  <si>
    <t>Notice</t>
  </si>
  <si>
    <r>
      <rPr>
        <b/>
        <sz val="10"/>
        <color rgb="FF000000"/>
        <rFont val="Calibri"/>
        <family val="2"/>
        <scheme val="minor"/>
      </rPr>
      <t xml:space="preserve">Definitions: </t>
    </r>
    <r>
      <rPr>
        <sz val="10"/>
        <color rgb="FF000000"/>
        <rFont val="Calibri"/>
        <family val="2"/>
        <scheme val="minor"/>
      </rPr>
      <t>Reference sheet with additional information related to inputs for the SPICE Tool.</t>
    </r>
  </si>
  <si>
    <r>
      <rPr>
        <b/>
        <sz val="10"/>
        <color rgb="FF000000"/>
        <rFont val="Calibri"/>
        <family val="2"/>
        <scheme val="minor"/>
      </rPr>
      <t xml:space="preserve">Calibration: </t>
    </r>
    <r>
      <rPr>
        <sz val="10"/>
        <color rgb="FF000000"/>
        <rFont val="Calibri"/>
        <family val="2"/>
        <scheme val="minor"/>
      </rPr>
      <t xml:space="preserve">Input optional override values for SPF calibration factors from locally developed or updated information. </t>
    </r>
  </si>
  <si>
    <t xml:space="preserve">The SPICE Tool performs predictive safety analysis of at-grade intersection forms/control types and ramp-terminal intersections of basic service interchanges. This user-friendly tool relies on data inputs that are normally available to the analyst during project scoping and screening stages of project development. Additionally, the SPICE Tool has an option to conduct planning level analysis, where the tool assumes default values for data inputs when they are not available and/or have a very minor impact on the results. The SPICE Tool assumes that certain attributes of the intersection – AADT, facility type, and number of legs – are the same for all alternatives. If they are not, users will be required to use the tool twice to get results. The tool will not allow simultaneous evaluation of at-grade intersections and ramp-terminal intersections. For projects where analysis of both intersections and interchanges is needed, users are required use the tool twice to get results. </t>
  </si>
  <si>
    <r>
      <rPr>
        <b/>
        <sz val="10"/>
        <color rgb="FF000000"/>
        <rFont val="Calibri"/>
        <family val="2"/>
        <scheme val="minor"/>
      </rPr>
      <t>Control Strategy Selection:</t>
    </r>
    <r>
      <rPr>
        <sz val="10"/>
        <color rgb="FF000000"/>
        <rFont val="Calibri"/>
        <family val="2"/>
        <scheme val="minor"/>
      </rPr>
      <t xml:space="preserve"> Choose between At-Grade or Ramp-Terminal intersection types to be included in the SPICE analysis.</t>
    </r>
  </si>
  <si>
    <r>
      <rPr>
        <b/>
        <sz val="10"/>
        <color rgb="FF000000"/>
        <rFont val="Calibri"/>
        <family val="2"/>
        <scheme val="minor"/>
      </rPr>
      <t xml:space="preserve">Ramp-Terminal Inputs: </t>
    </r>
    <r>
      <rPr>
        <sz val="10"/>
        <color rgb="FF000000"/>
        <rFont val="Calibri"/>
        <family val="2"/>
        <scheme val="minor"/>
      </rPr>
      <t>SPF and Part C CMF inputs for Ramp-Terminal intersections (hidden if At-Grade intersections are being analyzed).</t>
    </r>
  </si>
  <si>
    <r>
      <rPr>
        <b/>
        <sz val="10"/>
        <color theme="1"/>
        <rFont val="Calibri"/>
        <family val="2"/>
        <scheme val="minor"/>
      </rPr>
      <t>At-Grade Inputs:</t>
    </r>
    <r>
      <rPr>
        <sz val="10"/>
        <color theme="1"/>
        <rFont val="Calibri"/>
        <family val="2"/>
        <scheme val="minor"/>
      </rPr>
      <t xml:space="preserve"> SPF and Part C CMF inputs for At-Grade intersections (hidden if Ramp-Terminals are being analyzed).</t>
    </r>
  </si>
  <si>
    <t>Access Point within 250 ft of Yield Line</t>
  </si>
  <si>
    <t>Crossroad AADT – Inside Leg</t>
  </si>
  <si>
    <t>Crossroad AADT – Outside Leg</t>
  </si>
  <si>
    <t>Ramp AADT – Exit</t>
  </si>
  <si>
    <t>Ramp AADT – Entrance</t>
  </si>
  <si>
    <t>Number of lanes on the major street (both directions – does not include turn lanes)</t>
  </si>
  <si>
    <t>AADT volume of the crossroad leg located between the two ramp-terminals of the interchange</t>
  </si>
  <si>
    <t>Any ramp that has a fourth leg that: (1) is a public street serving two-way traffic and (2) intersects with the crossroad at the terminal. At most ramp-terminals, the public street leg will be on the opposite side of the crossroad from the exit ramp.</t>
  </si>
  <si>
    <t>Opening Year – Major Road AADT</t>
  </si>
  <si>
    <t>Opening Year – Minor Road AADT</t>
  </si>
  <si>
    <t>Design Year – Major Road AADT</t>
  </si>
  <si>
    <t>Design Year – Minor Road AADT</t>
  </si>
  <si>
    <t>Displaced Left-Turn (DLT)</t>
  </si>
  <si>
    <t>Continuous Green-T (CGT) Intersection</t>
  </si>
  <si>
    <t># of Approaches Permissive/Protected LT Signal Phasing</t>
  </si>
  <si>
    <t>Number of Bus Stops within 1000 ft of Intersection</t>
  </si>
  <si>
    <t>Schools within 1000 ft of intersection</t>
  </si>
  <si>
    <t>Number of Alcohol Sales Establishments within 1000 ft of Intersection</t>
  </si>
  <si>
    <t>User-Specified Sum of all daily pedestrian crossing volumes</t>
  </si>
  <si>
    <t>Keep default values below here for planning-level analysis, override with actual values for full HSM Analysis.</t>
  </si>
  <si>
    <t>On Rural 2-Lane Highway</t>
  </si>
  <si>
    <t>On High-Speed (50+ MPH) Urban and Suburban Arterial</t>
  </si>
  <si>
    <t>Ramp-Terminal Intersection SPFs</t>
  </si>
  <si>
    <t>1-way/
2-way</t>
  </si>
  <si>
    <t>Ramp-Terminal Intersections</t>
  </si>
  <si>
    <r>
      <rPr>
        <b/>
        <sz val="14"/>
        <rFont val="Calibri"/>
        <family val="2"/>
        <scheme val="minor"/>
      </rPr>
      <t>Notes</t>
    </r>
    <r>
      <rPr>
        <b/>
        <sz val="14"/>
        <color theme="5"/>
        <rFont val="Calibri"/>
        <family val="2"/>
        <scheme val="minor"/>
      </rPr>
      <t xml:space="preserve"> (DO NOT EDIT)</t>
    </r>
  </si>
  <si>
    <t>Ramp-Terminal Interchanges</t>
  </si>
  <si>
    <r>
      <t xml:space="preserve">Alternatives </t>
    </r>
    <r>
      <rPr>
        <b/>
        <sz val="14"/>
        <color theme="5"/>
        <rFont val="Calibri"/>
        <family val="2"/>
        <scheme val="minor"/>
      </rPr>
      <t>(DO NOT EDIT)</t>
    </r>
  </si>
  <si>
    <r>
      <rPr>
        <b/>
        <sz val="16"/>
        <rFont val="Calibri"/>
        <family val="2"/>
        <scheme val="minor"/>
      </rPr>
      <t>Labels</t>
    </r>
    <r>
      <rPr>
        <b/>
        <sz val="16"/>
        <color theme="5"/>
        <rFont val="Calibri"/>
        <family val="2"/>
        <scheme val="minor"/>
      </rPr>
      <t xml:space="preserve"> (DO NOT EDIT)</t>
    </r>
  </si>
  <si>
    <r>
      <rPr>
        <sz val="11"/>
        <rFont val="Calibri"/>
        <family val="2"/>
        <scheme val="minor"/>
      </rPr>
      <t xml:space="preserve">See </t>
    </r>
    <r>
      <rPr>
        <u/>
        <sz val="11"/>
        <color theme="10"/>
        <rFont val="Calibri"/>
        <family val="2"/>
        <scheme val="minor"/>
      </rPr>
      <t>At-Grade Ranges for Traffic Signals and Minor Stops</t>
    </r>
  </si>
  <si>
    <r>
      <rPr>
        <sz val="11"/>
        <rFont val="Calibri"/>
        <family val="2"/>
        <scheme val="minor"/>
      </rPr>
      <t xml:space="preserve">See </t>
    </r>
    <r>
      <rPr>
        <u/>
        <sz val="11"/>
        <color theme="10"/>
        <rFont val="Calibri"/>
        <family val="2"/>
        <scheme val="minor"/>
      </rPr>
      <t>Roundabout AADT Ranges</t>
    </r>
  </si>
  <si>
    <t>Roundabout AADT Ranges</t>
  </si>
  <si>
    <t>(Select from Dropdown)</t>
  </si>
  <si>
    <t>Local CMFs (Non-Roundabout)</t>
  </si>
  <si>
    <t>Local CMFs (Roundabout)</t>
  </si>
  <si>
    <t>#-lanes</t>
  </si>
  <si>
    <t>Base Control Type</t>
  </si>
  <si>
    <t>Area</t>
  </si>
  <si>
    <t>1-lane</t>
  </si>
  <si>
    <t>2-lane</t>
  </si>
  <si>
    <t>None</t>
  </si>
  <si>
    <t>Enable "Opening and Design Year" above to input Design Year AADTs</t>
  </si>
  <si>
    <t>Version: SPICE Tool 1.4</t>
  </si>
  <si>
    <t>Version 1.4
October 2018</t>
  </si>
  <si>
    <t>License and Disclaimer</t>
  </si>
  <si>
    <t>The SPICE Tool was developed under Contract DTFH6116D0017 with input from the Highway Safety Manual Implementation Pooled Fund Study.  The Transportation Pooled Fund Program is a partnership effort between the Federal Highway Administration, States, local agencies and other organizations.</t>
  </si>
  <si>
    <t xml:space="preserve">This software product is provided “as-is,” without warranty of any kind, either expressed or implied (but not limited to the implied warranties of merchantability and fitness for a particular purpose). The Federal Highway Administration (FHWA) and distributor do not warrant that the functions contained in the software will meet the end-user's requirements or that the operation of the software will be uninterrupted and error-free.
Under no circumstances will the FHWA or the distributor be liable to the end user for any damages or claimed lost profits, lost savings, or other incidental or consequential damages rising out of the use or inability to use the software (even if these organizations have been advised of the possibility of such damages), or for any claim by any other party. 
</t>
  </si>
  <si>
    <t xml:space="preserve">The SPICE Tool software product was developed for the Federal Highway Administration (FHWA). This is a public distribution of the software. The SPICE Tool software product is disseminated under the sponsorship of the U.S. Department of Transportation (USDOT) in the interest of information exchange. This software product does not constitute a standard, specification, or regulation. 
The use and testing of the SPICE Tool software is being done strictly on a voluntary basis. In exchange for the provision of SPICE Tool software, the user agrees that the FHWA, USDOT, any other agency of the Federal Government or distributor shall not be responsible for any errors, damage or other liability that may result from any and all use of the software, including installation and testing of the software. The user further agrees to hold the FHWA, the Federal Government, and distributor harmless from any resulting liability. The user agrees that this hold harmless provision shall flow to any person to whom or any entity to which the user provides the SPICE Tool software. It is the user's full responsibility to inform any person to whom or any entity to which it provides the SPICE software of this hold harmless provision.
Permission is granted to anyone to use this software for any purpose, including commercial applications, subject to the following restrictions:
1. The origin of this SPICE Tool software must not be misrepresented; there shall be no claim that this software is the product of or written by any individual, company or organization other than the Federal Government. If you use this software in a product, an acknowledgment in the product documentation would be appreciated but is not required.
2. Altered versions must be plainly marked as such, and must not be misrepresented as being the original SPICE Tool software.
3. This notice may not be removed or altered from any distribution, recording, copy, or use of this SPICE Tool software.
The United States Government does not endorse products or manufacturers. Trade and manufacturers' names may appear in this software product only because they are considered essential to the objective of the software product.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</si>
</sst>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F800]dddd\,\ mmmm\ dd\,\ yyyy"/>
    <numFmt numFmtId="165" formatCode="[$$-409]#,##0.00"/>
    <numFmt numFmtId="166" formatCode="0.00;&quot;No SPF&quot;;&quot;No SPF&quot;;&quot;--&quot;"/>
  </numFmts>
  <fonts count="82" x14ac:knownFonts="1">
    <font>
      <sz val="11"/>
      <color theme="1"/>
      <name val="Calibri"/>
      <family val="2"/>
      <scheme val="minor"/>
    </font>
    <font>
      <sz val="11"/>
      <color theme="1"/>
      <name val="Calibri"/>
      <family val="2"/>
      <scheme val="minor"/>
    </font>
    <font>
      <sz val="10"/>
      <color rgb="FF333333"/>
      <name val="Helvetica"/>
      <family val="2"/>
    </font>
    <font>
      <sz val="8"/>
      <name val="Arial"/>
      <family val="2"/>
    </font>
    <font>
      <sz val="10"/>
      <name val="Arial"/>
      <family val="2"/>
    </font>
    <font>
      <u/>
      <sz val="8"/>
      <color indexed="12"/>
      <name val="Swis721 Ex BT"/>
      <family val="2"/>
    </font>
    <font>
      <sz val="11"/>
      <color theme="1"/>
      <name val="Arial Rounded MT Bold"/>
      <family val="2"/>
    </font>
    <font>
      <b/>
      <u/>
      <sz val="11"/>
      <color theme="1"/>
      <name val="Calibri"/>
      <family val="2"/>
      <scheme val="minor"/>
    </font>
    <font>
      <i/>
      <sz val="11"/>
      <color rgb="FFFF0000"/>
      <name val="Calibri"/>
      <family val="2"/>
      <scheme val="minor"/>
    </font>
    <font>
      <sz val="11"/>
      <color rgb="FFFF0000"/>
      <name val="Calibri"/>
      <family val="2"/>
      <scheme val="minor"/>
    </font>
    <font>
      <b/>
      <sz val="11"/>
      <color theme="1"/>
      <name val="Calibri"/>
      <family val="2"/>
      <scheme val="minor"/>
    </font>
    <font>
      <b/>
      <sz val="10"/>
      <color theme="1"/>
      <name val="Calibri"/>
      <family val="2"/>
      <scheme val="minor"/>
    </font>
    <font>
      <sz val="10"/>
      <color rgb="FF000000"/>
      <name val="Calibri"/>
      <family val="2"/>
      <scheme val="minor"/>
    </font>
    <font>
      <b/>
      <sz val="10"/>
      <color rgb="FF000000"/>
      <name val="Calibri"/>
      <family val="2"/>
      <scheme val="minor"/>
    </font>
    <font>
      <sz val="8"/>
      <name val="Calibri"/>
      <family val="2"/>
      <scheme val="minor"/>
    </font>
    <font>
      <i/>
      <sz val="10"/>
      <color rgb="FF000000"/>
      <name val="Calibri"/>
      <family val="2"/>
      <scheme val="minor"/>
    </font>
    <font>
      <i/>
      <sz val="10"/>
      <color theme="1"/>
      <name val="Calibri"/>
      <family val="2"/>
      <scheme val="minor"/>
    </font>
    <font>
      <b/>
      <sz val="14"/>
      <color theme="1"/>
      <name val="Calibri"/>
      <family val="2"/>
      <scheme val="minor"/>
    </font>
    <font>
      <sz val="10"/>
      <color theme="1"/>
      <name val="Calibri"/>
      <family val="2"/>
      <scheme val="minor"/>
    </font>
    <font>
      <b/>
      <sz val="10"/>
      <color rgb="FFFF0000"/>
      <name val="Calibri"/>
      <family val="2"/>
      <scheme val="minor"/>
    </font>
    <font>
      <sz val="9"/>
      <color indexed="81"/>
      <name val="Tahoma"/>
      <family val="2"/>
    </font>
    <font>
      <sz val="10"/>
      <name val="Calibri"/>
      <family val="2"/>
      <scheme val="minor"/>
    </font>
    <font>
      <sz val="11"/>
      <color rgb="FF000000"/>
      <name val="Calibri"/>
      <family val="2"/>
    </font>
    <font>
      <sz val="10"/>
      <color theme="0" tint="-0.499984740745262"/>
      <name val="Calibri"/>
      <family val="2"/>
      <scheme val="minor"/>
    </font>
    <font>
      <sz val="11"/>
      <color rgb="FF000000"/>
      <name val="Calibri"/>
      <family val="2"/>
      <scheme val="minor"/>
    </font>
    <font>
      <b/>
      <sz val="9"/>
      <color theme="1"/>
      <name val="Calibri"/>
      <family val="2"/>
      <scheme val="minor"/>
    </font>
    <font>
      <sz val="11"/>
      <name val="Calibri"/>
      <family val="2"/>
      <scheme val="minor"/>
    </font>
    <font>
      <b/>
      <sz val="10"/>
      <name val="Calibri"/>
      <family val="2"/>
      <scheme val="minor"/>
    </font>
    <font>
      <sz val="11"/>
      <color theme="0" tint="-0.14999847407452621"/>
      <name val="Calibri"/>
      <family val="2"/>
      <scheme val="minor"/>
    </font>
    <font>
      <b/>
      <sz val="12"/>
      <color theme="1"/>
      <name val="Calibri"/>
      <family val="2"/>
      <scheme val="minor"/>
    </font>
    <font>
      <sz val="11"/>
      <color rgb="FFA6A6A6"/>
      <name val="Calibri"/>
      <family val="2"/>
      <scheme val="minor"/>
    </font>
    <font>
      <sz val="20"/>
      <color theme="1"/>
      <name val="Calibri"/>
      <family val="2"/>
      <scheme val="minor"/>
    </font>
    <font>
      <b/>
      <sz val="9"/>
      <color indexed="81"/>
      <name val="Tahoma"/>
      <family val="2"/>
    </font>
    <font>
      <sz val="14"/>
      <name val="Calibri"/>
      <family val="2"/>
      <scheme val="minor"/>
    </font>
    <font>
      <sz val="11"/>
      <color theme="0" tint="-0.499984740745262"/>
      <name val="Calibri"/>
      <family val="2"/>
      <scheme val="minor"/>
    </font>
    <font>
      <b/>
      <sz val="10"/>
      <color theme="0" tint="-0.499984740745262"/>
      <name val="Calibri"/>
      <family val="2"/>
      <scheme val="minor"/>
    </font>
    <font>
      <b/>
      <sz val="12"/>
      <name val="Calibri"/>
      <family val="2"/>
      <scheme val="minor"/>
    </font>
    <font>
      <i/>
      <sz val="11"/>
      <color theme="1"/>
      <name val="Calibri"/>
      <family val="2"/>
      <scheme val="minor"/>
    </font>
    <font>
      <i/>
      <vertAlign val="subscript"/>
      <sz val="11"/>
      <color theme="1"/>
      <name val="Calibri"/>
      <family val="2"/>
      <scheme val="minor"/>
    </font>
    <font>
      <b/>
      <sz val="11"/>
      <name val="Calibri"/>
      <family val="2"/>
      <scheme val="minor"/>
    </font>
    <font>
      <b/>
      <sz val="12"/>
      <color theme="0"/>
      <name val="Calibri"/>
      <family val="2"/>
      <scheme val="minor"/>
    </font>
    <font>
      <b/>
      <sz val="18"/>
      <color rgb="FFFF0000"/>
      <name val="Calibri"/>
      <family val="2"/>
      <scheme val="minor"/>
    </font>
    <font>
      <sz val="11"/>
      <color theme="0" tint="-4.9989318521683403E-2"/>
      <name val="Calibri"/>
      <family val="2"/>
      <scheme val="minor"/>
    </font>
    <font>
      <u/>
      <sz val="11"/>
      <color theme="10"/>
      <name val="Calibri"/>
      <family val="2"/>
      <scheme val="minor"/>
    </font>
    <font>
      <b/>
      <sz val="18"/>
      <color theme="0"/>
      <name val="Arial"/>
      <family val="2"/>
    </font>
    <font>
      <i/>
      <sz val="10"/>
      <color theme="1"/>
      <name val="Arial"/>
      <family val="2"/>
    </font>
    <font>
      <sz val="11"/>
      <color theme="1"/>
      <name val="Arial"/>
      <family val="2"/>
    </font>
    <font>
      <sz val="11"/>
      <name val="Arial"/>
      <family val="2"/>
    </font>
    <font>
      <b/>
      <sz val="9"/>
      <color theme="1"/>
      <name val="Arial"/>
      <family val="2"/>
    </font>
    <font>
      <b/>
      <sz val="10"/>
      <color theme="1"/>
      <name val="Arial"/>
      <family val="2"/>
    </font>
    <font>
      <sz val="10"/>
      <color theme="0"/>
      <name val="Arial"/>
      <family val="2"/>
    </font>
    <font>
      <sz val="20"/>
      <color theme="1"/>
      <name val="Arial"/>
      <family val="2"/>
    </font>
    <font>
      <sz val="14"/>
      <name val="Arial"/>
      <family val="2"/>
    </font>
    <font>
      <b/>
      <sz val="10"/>
      <color theme="0"/>
      <name val="Arial"/>
      <family val="2"/>
    </font>
    <font>
      <sz val="10"/>
      <color theme="1"/>
      <name val="Arial"/>
      <family val="2"/>
    </font>
    <font>
      <sz val="12"/>
      <color rgb="FF000000"/>
      <name val="Arial"/>
      <family val="2"/>
    </font>
    <font>
      <b/>
      <sz val="11"/>
      <color theme="0"/>
      <name val="Calibri"/>
      <family val="2"/>
      <scheme val="minor"/>
    </font>
    <font>
      <sz val="11"/>
      <color rgb="FFFF0000"/>
      <name val="Arial"/>
      <family val="2"/>
    </font>
    <font>
      <b/>
      <sz val="10"/>
      <name val="Arial"/>
      <family val="2"/>
    </font>
    <font>
      <sz val="11"/>
      <color theme="0"/>
      <name val="Arial"/>
      <family val="2"/>
    </font>
    <font>
      <sz val="10"/>
      <color rgb="FFFF0000"/>
      <name val="Arial"/>
      <family val="2"/>
    </font>
    <font>
      <sz val="11"/>
      <color rgb="FF000000"/>
      <name val="Arial"/>
      <family val="2"/>
    </font>
    <font>
      <sz val="9"/>
      <color rgb="FFFF0000"/>
      <name val="Arial"/>
      <family val="2"/>
    </font>
    <font>
      <sz val="8"/>
      <color rgb="FFFF0000"/>
      <name val="Arial"/>
      <family val="2"/>
    </font>
    <font>
      <b/>
      <sz val="9"/>
      <name val="Arial"/>
      <family val="2"/>
    </font>
    <font>
      <b/>
      <sz val="11"/>
      <color theme="0"/>
      <name val="Arial"/>
      <family val="2"/>
    </font>
    <font>
      <b/>
      <sz val="14"/>
      <color theme="0"/>
      <name val="Calibri"/>
      <family val="2"/>
      <scheme val="minor"/>
    </font>
    <font>
      <b/>
      <sz val="20"/>
      <color theme="0"/>
      <name val="Calibri"/>
      <family val="2"/>
      <scheme val="minor"/>
    </font>
    <font>
      <b/>
      <sz val="18"/>
      <color theme="0"/>
      <name val="Calibri"/>
      <family val="2"/>
      <scheme val="minor"/>
    </font>
    <font>
      <b/>
      <sz val="10"/>
      <color theme="0"/>
      <name val="Calibri"/>
      <family val="2"/>
      <scheme val="minor"/>
    </font>
    <font>
      <sz val="10"/>
      <color rgb="FF000000"/>
      <name val="Arial"/>
      <family val="2"/>
    </font>
    <font>
      <b/>
      <sz val="14"/>
      <color theme="5"/>
      <name val="Calibri"/>
      <family val="2"/>
      <scheme val="minor"/>
    </font>
    <font>
      <b/>
      <sz val="14"/>
      <name val="Calibri"/>
      <family val="2"/>
      <scheme val="minor"/>
    </font>
    <font>
      <b/>
      <sz val="16"/>
      <color theme="5"/>
      <name val="Calibri"/>
      <family val="2"/>
      <scheme val="minor"/>
    </font>
    <font>
      <b/>
      <sz val="16"/>
      <name val="Calibri"/>
      <family val="2"/>
      <scheme val="minor"/>
    </font>
    <font>
      <sz val="9"/>
      <color theme="1"/>
      <name val="Arial"/>
      <family val="2"/>
    </font>
    <font>
      <sz val="9"/>
      <name val="Arial"/>
      <family val="2"/>
    </font>
    <font>
      <b/>
      <sz val="9"/>
      <color rgb="FFFF0000"/>
      <name val="Arial"/>
      <family val="2"/>
    </font>
    <font>
      <b/>
      <sz val="10"/>
      <color rgb="FFFF0000"/>
      <name val="Arial"/>
      <family val="2"/>
    </font>
    <font>
      <sz val="10"/>
      <color rgb="FFD9D9D9"/>
      <name val="Arial"/>
      <family val="2"/>
    </font>
    <font>
      <sz val="10"/>
      <color rgb="FFD9D9D9"/>
      <name val="Calibri"/>
      <family val="2"/>
      <scheme val="minor"/>
    </font>
    <font>
      <b/>
      <sz val="10"/>
      <color theme="4" tint="0.79998168889431442"/>
      <name val="Arial"/>
      <family val="2"/>
    </font>
  </fonts>
  <fills count="19">
    <fill>
      <patternFill patternType="none"/>
    </fill>
    <fill>
      <patternFill patternType="gray125"/>
    </fill>
    <fill>
      <patternFill patternType="solid">
        <fgColor theme="4" tint="0.59999389629810485"/>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theme="0"/>
        <bgColor indexed="64"/>
      </patternFill>
    </fill>
    <fill>
      <patternFill patternType="solid">
        <fgColor theme="0" tint="-4.9989318521683403E-2"/>
        <bgColor indexed="64"/>
      </patternFill>
    </fill>
    <fill>
      <patternFill patternType="solid">
        <fgColor rgb="FFD9D9D9"/>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rgb="FF002060"/>
        <bgColor indexed="64"/>
      </patternFill>
    </fill>
    <fill>
      <patternFill patternType="solid">
        <fgColor theme="4" tint="0.79998168889431442"/>
        <bgColor indexed="64"/>
      </patternFill>
    </fill>
    <fill>
      <patternFill patternType="solid">
        <fgColor rgb="FFFFFFCC"/>
        <bgColor indexed="64"/>
      </patternFill>
    </fill>
    <fill>
      <patternFill patternType="solid">
        <fgColor rgb="FFFFC000"/>
        <bgColor indexed="64"/>
      </patternFill>
    </fill>
    <fill>
      <patternFill patternType="solid">
        <fgColor theme="8" tint="0.39997558519241921"/>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double">
        <color indexed="64"/>
      </right>
      <top style="thin">
        <color indexed="64"/>
      </top>
      <bottom style="dashed">
        <color indexed="64"/>
      </bottom>
      <diagonal/>
    </border>
    <border>
      <left style="thin">
        <color indexed="64"/>
      </left>
      <right style="double">
        <color indexed="64"/>
      </right>
      <top/>
      <bottom style="thin">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s>
  <cellStyleXfs count="48">
    <xf numFmtId="0" fontId="0" fillId="0" borderId="0"/>
    <xf numFmtId="164" fontId="1" fillId="0" borderId="0"/>
    <xf numFmtId="164" fontId="3" fillId="0" borderId="0"/>
    <xf numFmtId="164" fontId="4" fillId="0" borderId="0"/>
    <xf numFmtId="44" fontId="3" fillId="0" borderId="0" applyFont="0" applyFill="0" applyBorder="0" applyAlignment="0" applyProtection="0"/>
    <xf numFmtId="9" fontId="3" fillId="0" borderId="0" applyFont="0" applyFill="0" applyBorder="0" applyAlignment="0" applyProtection="0"/>
    <xf numFmtId="164" fontId="5" fillId="0" borderId="0" applyNumberFormat="0" applyFill="0" applyBorder="0" applyAlignment="0" applyProtection="0">
      <alignment vertical="top"/>
      <protection locked="0"/>
    </xf>
    <xf numFmtId="164" fontId="5" fillId="0" borderId="0" applyNumberFormat="0" applyFill="0" applyBorder="0" applyAlignment="0" applyProtection="0">
      <alignment vertical="top"/>
      <protection locked="0"/>
    </xf>
    <xf numFmtId="164" fontId="4" fillId="0" borderId="0"/>
    <xf numFmtId="164" fontId="1" fillId="0" borderId="0"/>
    <xf numFmtId="164" fontId="4" fillId="0" borderId="0"/>
    <xf numFmtId="164" fontId="4" fillId="0" borderId="0"/>
    <xf numFmtId="164" fontId="4" fillId="0" borderId="0"/>
    <xf numFmtId="164" fontId="4" fillId="0" borderId="0"/>
    <xf numFmtId="164" fontId="3" fillId="0" borderId="0"/>
    <xf numFmtId="164" fontId="1" fillId="0" borderId="0"/>
    <xf numFmtId="164" fontId="1" fillId="0" borderId="0"/>
    <xf numFmtId="164" fontId="1" fillId="0" borderId="0"/>
    <xf numFmtId="165" fontId="1" fillId="0" borderId="0"/>
    <xf numFmtId="165" fontId="3" fillId="0" borderId="0"/>
    <xf numFmtId="165" fontId="4" fillId="0" borderId="0"/>
    <xf numFmtId="165" fontId="5" fillId="0" borderId="0" applyNumberFormat="0" applyFill="0" applyBorder="0" applyAlignment="0" applyProtection="0">
      <alignment vertical="top"/>
      <protection locked="0"/>
    </xf>
    <xf numFmtId="165" fontId="5" fillId="0" borderId="0" applyNumberFormat="0" applyFill="0" applyBorder="0" applyAlignment="0" applyProtection="0">
      <alignment vertical="top"/>
      <protection locked="0"/>
    </xf>
    <xf numFmtId="165" fontId="4" fillId="0" borderId="0"/>
    <xf numFmtId="165" fontId="1" fillId="0" borderId="0"/>
    <xf numFmtId="165" fontId="4" fillId="0" borderId="0"/>
    <xf numFmtId="165" fontId="4" fillId="0" borderId="0"/>
    <xf numFmtId="165" fontId="4" fillId="0" borderId="0"/>
    <xf numFmtId="165" fontId="4" fillId="0" borderId="0"/>
    <xf numFmtId="165" fontId="3" fillId="0" borderId="0"/>
    <xf numFmtId="165" fontId="1" fillId="0" borderId="0"/>
    <xf numFmtId="165" fontId="1" fillId="0" borderId="0"/>
    <xf numFmtId="165" fontId="1" fillId="0" borderId="0"/>
    <xf numFmtId="165" fontId="1" fillId="0" borderId="0"/>
    <xf numFmtId="0" fontId="1" fillId="0" borderId="0"/>
    <xf numFmtId="164" fontId="3" fillId="0" borderId="0"/>
    <xf numFmtId="164" fontId="4" fillId="0" borderId="0"/>
    <xf numFmtId="0" fontId="1" fillId="0" borderId="0"/>
    <xf numFmtId="164" fontId="5" fillId="0" borderId="0" applyNumberFormat="0" applyFill="0" applyBorder="0" applyAlignment="0" applyProtection="0">
      <alignment vertical="top"/>
      <protection locked="0"/>
    </xf>
    <xf numFmtId="164" fontId="5" fillId="0" borderId="0" applyNumberFormat="0" applyFill="0" applyBorder="0" applyAlignment="0" applyProtection="0">
      <alignment vertical="top"/>
      <protection locked="0"/>
    </xf>
    <xf numFmtId="164" fontId="4" fillId="0" borderId="0"/>
    <xf numFmtId="164" fontId="1" fillId="0" borderId="0"/>
    <xf numFmtId="164" fontId="4" fillId="0" borderId="0"/>
    <xf numFmtId="164" fontId="4" fillId="0" borderId="0"/>
    <xf numFmtId="164" fontId="4" fillId="0" borderId="0"/>
    <xf numFmtId="164" fontId="4" fillId="0" borderId="0"/>
    <xf numFmtId="164" fontId="3" fillId="0" borderId="0"/>
    <xf numFmtId="0" fontId="43" fillId="0" borderId="0" applyNumberFormat="0" applyFill="0" applyBorder="0" applyAlignment="0" applyProtection="0"/>
  </cellStyleXfs>
  <cellXfs count="854">
    <xf numFmtId="0" fontId="0" fillId="0" borderId="0" xfId="0"/>
    <xf numFmtId="0" fontId="2" fillId="0" borderId="0" xfId="0" applyFont="1"/>
    <xf numFmtId="0" fontId="0" fillId="0" borderId="0" xfId="0" applyBorder="1"/>
    <xf numFmtId="0" fontId="0" fillId="0" borderId="0" xfId="0" applyFill="1" applyBorder="1"/>
    <xf numFmtId="0" fontId="7" fillId="0" borderId="0" xfId="0" applyFont="1"/>
    <xf numFmtId="0" fontId="8" fillId="0" borderId="0" xfId="0" applyFont="1"/>
    <xf numFmtId="0" fontId="0" fillId="0" borderId="0" xfId="0" applyAlignment="1">
      <alignment horizontal="left"/>
    </xf>
    <xf numFmtId="0" fontId="15" fillId="0" borderId="0" xfId="0" applyFont="1" applyAlignment="1">
      <alignment vertical="center" wrapText="1"/>
    </xf>
    <xf numFmtId="0" fontId="0" fillId="0" borderId="0" xfId="0" applyFont="1"/>
    <xf numFmtId="0" fontId="11" fillId="0" borderId="1" xfId="0" applyFont="1" applyFill="1" applyBorder="1" applyAlignment="1">
      <alignment horizontal="left" wrapText="1"/>
    </xf>
    <xf numFmtId="0" fontId="11" fillId="0" borderId="1" xfId="0" applyFont="1" applyFill="1" applyBorder="1" applyAlignment="1">
      <alignment horizontal="center" wrapText="1"/>
    </xf>
    <xf numFmtId="0" fontId="11" fillId="0" borderId="1" xfId="0" applyFont="1" applyFill="1" applyBorder="1" applyAlignment="1"/>
    <xf numFmtId="0" fontId="11" fillId="7" borderId="1" xfId="0" applyFont="1" applyFill="1" applyBorder="1" applyAlignment="1">
      <alignment horizontal="left" wrapText="1"/>
    </xf>
    <xf numFmtId="0" fontId="0" fillId="6" borderId="1" xfId="0" applyFont="1" applyFill="1" applyBorder="1" applyAlignment="1">
      <alignment horizontal="center"/>
    </xf>
    <xf numFmtId="1" fontId="18" fillId="2" borderId="1" xfId="0" applyNumberFormat="1" applyFont="1" applyFill="1" applyBorder="1" applyAlignment="1">
      <alignment horizontal="center"/>
    </xf>
    <xf numFmtId="0" fontId="11" fillId="0" borderId="2" xfId="0" applyFont="1" applyFill="1" applyBorder="1" applyAlignment="1">
      <alignment horizontal="left" wrapText="1"/>
    </xf>
    <xf numFmtId="0" fontId="17" fillId="0" borderId="0" xfId="0" applyFont="1"/>
    <xf numFmtId="0" fontId="18" fillId="0" borderId="1" xfId="0" applyFont="1" applyBorder="1"/>
    <xf numFmtId="0" fontId="18" fillId="0" borderId="1" xfId="0" applyFont="1" applyFill="1" applyBorder="1"/>
    <xf numFmtId="0" fontId="26" fillId="4" borderId="12" xfId="0" applyFont="1" applyFill="1" applyBorder="1" applyAlignment="1">
      <alignment vertical="center" wrapText="1"/>
    </xf>
    <xf numFmtId="0" fontId="26" fillId="4" borderId="13" xfId="0" applyFont="1" applyFill="1" applyBorder="1" applyAlignment="1">
      <alignment vertical="center" wrapText="1"/>
    </xf>
    <xf numFmtId="0" fontId="26" fillId="4" borderId="9" xfId="0" applyFont="1" applyFill="1" applyBorder="1" applyAlignment="1">
      <alignment vertical="center" wrapText="1"/>
    </xf>
    <xf numFmtId="0" fontId="26" fillId="4" borderId="14" xfId="0" applyFont="1" applyFill="1" applyBorder="1" applyAlignment="1">
      <alignment vertical="center" wrapText="1"/>
    </xf>
    <xf numFmtId="0" fontId="8" fillId="4" borderId="5" xfId="0" applyFont="1" applyFill="1" applyBorder="1" applyAlignment="1">
      <alignment vertical="center" wrapText="1"/>
    </xf>
    <xf numFmtId="0" fontId="8" fillId="4" borderId="6" xfId="0" applyFont="1" applyFill="1" applyBorder="1" applyAlignment="1">
      <alignment vertical="center" wrapText="1"/>
    </xf>
    <xf numFmtId="0" fontId="8" fillId="4" borderId="15" xfId="0" applyFont="1" applyFill="1" applyBorder="1" applyAlignment="1">
      <alignment vertical="center" wrapText="1"/>
    </xf>
    <xf numFmtId="0" fontId="11" fillId="0" borderId="1" xfId="0" applyFont="1" applyFill="1" applyBorder="1" applyAlignment="1">
      <alignment wrapText="1"/>
    </xf>
    <xf numFmtId="0" fontId="11" fillId="0" borderId="1" xfId="0" applyFont="1" applyFill="1" applyBorder="1" applyAlignment="1">
      <alignment vertical="top" wrapText="1"/>
    </xf>
    <xf numFmtId="0" fontId="27" fillId="0" borderId="1" xfId="0" applyFont="1" applyFill="1" applyBorder="1" applyAlignment="1">
      <alignment vertical="center" wrapText="1"/>
    </xf>
    <xf numFmtId="0" fontId="27" fillId="0" borderId="1" xfId="0" applyFont="1" applyFill="1" applyBorder="1" applyAlignment="1">
      <alignment wrapText="1"/>
    </xf>
    <xf numFmtId="0" fontId="29" fillId="9" borderId="2" xfId="0" applyFont="1" applyFill="1" applyBorder="1" applyAlignment="1">
      <alignment vertical="center" wrapText="1"/>
    </xf>
    <xf numFmtId="2" fontId="18" fillId="9" borderId="1" xfId="0" applyNumberFormat="1" applyFont="1" applyFill="1" applyBorder="1" applyAlignment="1">
      <alignment horizontal="center"/>
    </xf>
    <xf numFmtId="0" fontId="0" fillId="10" borderId="1" xfId="0" applyFill="1" applyBorder="1" applyAlignment="1">
      <alignment horizontal="center"/>
    </xf>
    <xf numFmtId="2" fontId="18" fillId="0" borderId="1" xfId="0" applyNumberFormat="1" applyFont="1" applyFill="1" applyBorder="1" applyAlignment="1" applyProtection="1">
      <alignment horizontal="center"/>
      <protection locked="0"/>
    </xf>
    <xf numFmtId="0" fontId="26" fillId="0" borderId="0" xfId="0" applyFont="1"/>
    <xf numFmtId="2" fontId="26" fillId="0" borderId="0" xfId="0" applyNumberFormat="1" applyFont="1"/>
    <xf numFmtId="0" fontId="27" fillId="0" borderId="0" xfId="0" applyFont="1" applyFill="1" applyBorder="1" applyAlignment="1">
      <alignment horizontal="center" vertical="center" wrapText="1"/>
    </xf>
    <xf numFmtId="0" fontId="27" fillId="0" borderId="3" xfId="0" applyFont="1" applyFill="1" applyBorder="1" applyAlignment="1">
      <alignment horizontal="left" vertical="center" wrapText="1"/>
    </xf>
    <xf numFmtId="166" fontId="0" fillId="0" borderId="7" xfId="0" applyNumberFormat="1" applyBorder="1" applyAlignment="1">
      <alignment horizontal="center" vertical="center"/>
    </xf>
    <xf numFmtId="166" fontId="0" fillId="0" borderId="2" xfId="0" applyNumberFormat="1" applyBorder="1" applyAlignment="1">
      <alignment horizontal="center" vertical="center"/>
    </xf>
    <xf numFmtId="0" fontId="26" fillId="0" borderId="0" xfId="0" applyFont="1" applyFill="1" applyAlignment="1">
      <alignment horizontal="center" vertical="center"/>
    </xf>
    <xf numFmtId="0" fontId="26" fillId="0" borderId="0" xfId="0" applyFont="1" applyFill="1"/>
    <xf numFmtId="2" fontId="26" fillId="0" borderId="0" xfId="0" applyNumberFormat="1" applyFont="1" applyFill="1"/>
    <xf numFmtId="0" fontId="0" fillId="0" borderId="0" xfId="0" applyAlignment="1"/>
    <xf numFmtId="0" fontId="27" fillId="0" borderId="12" xfId="0" applyFont="1" applyFill="1" applyBorder="1" applyAlignment="1">
      <alignment horizontal="left" vertical="center" wrapText="1"/>
    </xf>
    <xf numFmtId="0" fontId="26" fillId="4" borderId="5" xfId="0" applyFont="1" applyFill="1" applyBorder="1" applyAlignment="1">
      <alignment vertical="center" wrapText="1"/>
    </xf>
    <xf numFmtId="0" fontId="26" fillId="4" borderId="15" xfId="0" applyFont="1" applyFill="1" applyBorder="1" applyAlignment="1">
      <alignment vertical="center" wrapText="1"/>
    </xf>
    <xf numFmtId="166" fontId="0" fillId="0" borderId="8" xfId="0" applyNumberFormat="1" applyBorder="1" applyAlignment="1">
      <alignment horizontal="center" vertical="center"/>
    </xf>
    <xf numFmtId="0" fontId="0" fillId="0" borderId="1" xfId="0" applyBorder="1" applyAlignment="1">
      <alignment horizontal="center"/>
    </xf>
    <xf numFmtId="2" fontId="18" fillId="0" borderId="1" xfId="0" quotePrefix="1" applyNumberFormat="1" applyFont="1" applyFill="1" applyBorder="1" applyAlignment="1" applyProtection="1">
      <alignment horizontal="center"/>
      <protection locked="0"/>
    </xf>
    <xf numFmtId="0" fontId="11" fillId="0" borderId="4" xfId="0" applyFont="1" applyFill="1" applyBorder="1" applyAlignment="1">
      <alignment wrapText="1"/>
    </xf>
    <xf numFmtId="2" fontId="18" fillId="0" borderId="1" xfId="0" applyNumberFormat="1" applyFont="1" applyFill="1" applyBorder="1" applyAlignment="1" applyProtection="1">
      <alignment horizontal="center"/>
    </xf>
    <xf numFmtId="0" fontId="0" fillId="2" borderId="1" xfId="0" applyFill="1" applyBorder="1" applyAlignment="1">
      <alignment horizontal="center" vertical="center"/>
    </xf>
    <xf numFmtId="0" fontId="0" fillId="0" borderId="1" xfId="0" applyBorder="1" applyAlignment="1">
      <alignment horizontal="center" vertical="center"/>
    </xf>
    <xf numFmtId="0" fontId="0" fillId="0" borderId="2" xfId="0" applyBorder="1" applyAlignment="1">
      <alignment wrapText="1"/>
    </xf>
    <xf numFmtId="0" fontId="0" fillId="0" borderId="7" xfId="0" applyBorder="1" applyAlignment="1">
      <alignment horizontal="left" wrapText="1"/>
    </xf>
    <xf numFmtId="0" fontId="0" fillId="2" borderId="1" xfId="0" applyFont="1" applyFill="1" applyBorder="1" applyAlignment="1">
      <alignment horizontal="center"/>
    </xf>
    <xf numFmtId="0" fontId="19" fillId="0" borderId="1" xfId="0" applyFont="1" applyFill="1" applyBorder="1" applyAlignment="1">
      <alignment wrapText="1"/>
    </xf>
    <xf numFmtId="0" fontId="0" fillId="8" borderId="1" xfId="0" applyFont="1" applyFill="1" applyBorder="1" applyAlignment="1">
      <alignment horizontal="center"/>
    </xf>
    <xf numFmtId="0" fontId="0" fillId="8" borderId="0" xfId="0" applyFont="1" applyFill="1"/>
    <xf numFmtId="0" fontId="0" fillId="8" borderId="1" xfId="0" applyFont="1" applyFill="1" applyBorder="1"/>
    <xf numFmtId="0" fontId="9" fillId="4" borderId="1" xfId="0" applyFont="1" applyFill="1" applyBorder="1"/>
    <xf numFmtId="0" fontId="27" fillId="0" borderId="1" xfId="0" applyFont="1" applyFill="1" applyBorder="1" applyAlignment="1"/>
    <xf numFmtId="0" fontId="0" fillId="0" borderId="10" xfId="0" applyBorder="1" applyAlignment="1"/>
    <xf numFmtId="0" fontId="0" fillId="0" borderId="0" xfId="0" applyProtection="1"/>
    <xf numFmtId="0" fontId="0" fillId="0" borderId="0" xfId="0"/>
    <xf numFmtId="0" fontId="0" fillId="0" borderId="32" xfId="0" applyBorder="1" applyAlignment="1">
      <alignment horizontal="left"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left" vertical="center"/>
    </xf>
    <xf numFmtId="0" fontId="0" fillId="0" borderId="36" xfId="0" applyBorder="1" applyAlignment="1">
      <alignment horizontal="center" vertical="center"/>
    </xf>
    <xf numFmtId="0" fontId="0" fillId="10" borderId="35" xfId="0" applyFill="1" applyBorder="1" applyAlignment="1">
      <alignment horizontal="left" vertical="center"/>
    </xf>
    <xf numFmtId="0" fontId="0" fillId="10" borderId="1" xfId="0" applyFill="1" applyBorder="1" applyAlignment="1">
      <alignment horizontal="center" vertical="center"/>
    </xf>
    <xf numFmtId="0" fontId="0" fillId="10" borderId="36" xfId="0" applyFill="1" applyBorder="1" applyAlignment="1">
      <alignment horizontal="center" vertical="center"/>
    </xf>
    <xf numFmtId="0" fontId="0" fillId="0" borderId="35" xfId="0" applyBorder="1" applyAlignment="1">
      <alignment vertical="center"/>
    </xf>
    <xf numFmtId="0" fontId="0" fillId="0" borderId="1" xfId="0" applyBorder="1" applyAlignment="1">
      <alignment vertical="center"/>
    </xf>
    <xf numFmtId="0" fontId="0" fillId="10" borderId="35" xfId="0" applyFill="1" applyBorder="1" applyAlignment="1">
      <alignment vertical="center" wrapText="1"/>
    </xf>
    <xf numFmtId="0" fontId="0" fillId="0" borderId="1" xfId="0" applyBorder="1" applyAlignment="1">
      <alignment vertical="center" wrapText="1"/>
    </xf>
    <xf numFmtId="3" fontId="0" fillId="0" borderId="1" xfId="0" applyNumberFormat="1" applyBorder="1" applyAlignment="1">
      <alignment horizontal="center" vertical="center"/>
    </xf>
    <xf numFmtId="0" fontId="0" fillId="10" borderId="1" xfId="0" applyFill="1" applyBorder="1" applyAlignment="1">
      <alignment vertical="center" wrapText="1"/>
    </xf>
    <xf numFmtId="0" fontId="0" fillId="0" borderId="0" xfId="0" applyAlignment="1">
      <alignment horizontal="center" vertical="center"/>
    </xf>
    <xf numFmtId="0" fontId="0" fillId="0" borderId="35" xfId="0" applyFill="1" applyBorder="1" applyAlignment="1">
      <alignment horizontal="left" vertical="center"/>
    </xf>
    <xf numFmtId="0" fontId="0" fillId="0" borderId="1" xfId="0" applyFill="1" applyBorder="1" applyAlignment="1">
      <alignment horizontal="center" vertical="center"/>
    </xf>
    <xf numFmtId="0" fontId="0" fillId="0" borderId="1" xfId="0" applyFill="1" applyBorder="1" applyAlignment="1">
      <alignment horizontal="left" vertical="center"/>
    </xf>
    <xf numFmtId="0" fontId="0" fillId="0" borderId="36" xfId="0" applyFill="1" applyBorder="1" applyAlignment="1">
      <alignment horizontal="center" vertical="center"/>
    </xf>
    <xf numFmtId="3" fontId="0" fillId="0" borderId="1" xfId="0" applyNumberFormat="1" applyBorder="1" applyAlignment="1">
      <alignment horizontal="center"/>
    </xf>
    <xf numFmtId="3" fontId="0" fillId="10" borderId="1" xfId="0" applyNumberFormat="1" applyFill="1" applyBorder="1" applyAlignment="1">
      <alignment horizontal="center"/>
    </xf>
    <xf numFmtId="0" fontId="0" fillId="0" borderId="1" xfId="0" applyBorder="1" applyAlignment="1">
      <alignment horizontal="center" vertical="center"/>
    </xf>
    <xf numFmtId="0" fontId="0" fillId="10" borderId="1" xfId="0" applyFill="1" applyBorder="1" applyAlignment="1">
      <alignment horizontal="center" vertical="center"/>
    </xf>
    <xf numFmtId="0" fontId="0" fillId="0" borderId="0" xfId="0"/>
    <xf numFmtId="3" fontId="0" fillId="10" borderId="37" xfId="0" applyNumberFormat="1" applyFill="1" applyBorder="1" applyAlignment="1">
      <alignment horizontal="center" vertical="center"/>
    </xf>
    <xf numFmtId="3" fontId="0" fillId="10" borderId="38" xfId="0" applyNumberFormat="1" applyFill="1" applyBorder="1" applyAlignment="1">
      <alignment horizontal="center" vertical="center"/>
    </xf>
    <xf numFmtId="3" fontId="0" fillId="10" borderId="2" xfId="0" applyNumberFormat="1" applyFill="1" applyBorder="1" applyAlignment="1">
      <alignment horizontal="center" vertical="center"/>
    </xf>
    <xf numFmtId="3" fontId="0" fillId="10" borderId="39" xfId="0" applyNumberFormat="1" applyFill="1" applyBorder="1" applyAlignment="1">
      <alignment horizontal="center" vertical="center"/>
    </xf>
    <xf numFmtId="3" fontId="0" fillId="0" borderId="37" xfId="0" applyNumberFormat="1" applyBorder="1" applyAlignment="1">
      <alignment horizontal="center" vertical="center"/>
    </xf>
    <xf numFmtId="3" fontId="0" fillId="0" borderId="38" xfId="0" applyNumberFormat="1" applyBorder="1" applyAlignment="1">
      <alignment horizontal="center" vertical="center"/>
    </xf>
    <xf numFmtId="3" fontId="0" fillId="0" borderId="2" xfId="0" applyNumberFormat="1" applyBorder="1" applyAlignment="1">
      <alignment horizontal="center" vertical="center"/>
    </xf>
    <xf numFmtId="3" fontId="0" fillId="0" borderId="39" xfId="0" applyNumberFormat="1" applyBorder="1" applyAlignment="1">
      <alignment horizontal="center" vertical="center"/>
    </xf>
    <xf numFmtId="0" fontId="0" fillId="0" borderId="35" xfId="0" applyBorder="1" applyAlignment="1">
      <alignment vertical="center" wrapText="1"/>
    </xf>
    <xf numFmtId="0" fontId="0" fillId="0" borderId="1" xfId="0" applyBorder="1" applyAlignment="1">
      <alignment horizontal="center" vertical="center" wrapText="1"/>
    </xf>
    <xf numFmtId="3" fontId="0" fillId="0" borderId="1" xfId="0" applyNumberFormat="1" applyBorder="1" applyAlignment="1">
      <alignment horizontal="center" vertical="center" wrapText="1"/>
    </xf>
    <xf numFmtId="0" fontId="0" fillId="0" borderId="36" xfId="0" applyBorder="1" applyAlignment="1">
      <alignment horizontal="center" vertical="center" wrapText="1"/>
    </xf>
    <xf numFmtId="0" fontId="0" fillId="0" borderId="33" xfId="0" applyFill="1" applyBorder="1" applyAlignment="1">
      <alignment horizontal="left" vertical="center"/>
    </xf>
    <xf numFmtId="0" fontId="0" fillId="0" borderId="0" xfId="0"/>
    <xf numFmtId="0" fontId="0" fillId="10" borderId="1" xfId="0" applyFill="1" applyBorder="1" applyAlignment="1">
      <alignment horizontal="left" vertical="center" wrapText="1"/>
    </xf>
    <xf numFmtId="0" fontId="0" fillId="10" borderId="1" xfId="0"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0" xfId="0" applyFont="1" applyProtection="1"/>
    <xf numFmtId="0" fontId="11" fillId="0" borderId="1" xfId="0" applyFont="1" applyFill="1" applyBorder="1" applyAlignment="1" applyProtection="1">
      <alignment horizontal="left" wrapText="1"/>
    </xf>
    <xf numFmtId="0" fontId="11" fillId="0" borderId="1" xfId="0" applyFont="1" applyFill="1" applyBorder="1" applyAlignment="1" applyProtection="1">
      <alignment horizontal="center" wrapText="1"/>
    </xf>
    <xf numFmtId="0" fontId="11" fillId="0" borderId="1" xfId="0" applyFont="1" applyFill="1" applyBorder="1" applyAlignment="1" applyProtection="1">
      <alignment horizontal="left"/>
    </xf>
    <xf numFmtId="0" fontId="27" fillId="0" borderId="1" xfId="0" applyFont="1" applyFill="1" applyBorder="1" applyAlignment="1" applyProtection="1">
      <alignment horizontal="left" wrapText="1"/>
    </xf>
    <xf numFmtId="0" fontId="27" fillId="0" borderId="1" xfId="0" applyFont="1" applyFill="1" applyBorder="1" applyAlignment="1" applyProtection="1">
      <alignment wrapText="1"/>
    </xf>
    <xf numFmtId="0" fontId="26" fillId="9" borderId="9" xfId="0" applyFont="1" applyFill="1" applyBorder="1" applyProtection="1"/>
    <xf numFmtId="0" fontId="26" fillId="9" borderId="0" xfId="0" applyFont="1" applyFill="1" applyBorder="1" applyProtection="1"/>
    <xf numFmtId="0" fontId="26" fillId="9" borderId="14" xfId="0" applyFont="1" applyFill="1" applyBorder="1" applyProtection="1"/>
    <xf numFmtId="0" fontId="26" fillId="9" borderId="5" xfId="0" applyFont="1" applyFill="1" applyBorder="1" applyProtection="1"/>
    <xf numFmtId="0" fontId="26" fillId="9" borderId="6" xfId="0" applyFont="1" applyFill="1" applyBorder="1" applyProtection="1"/>
    <xf numFmtId="0" fontId="26" fillId="9" borderId="15" xfId="0" applyFont="1" applyFill="1" applyBorder="1" applyProtection="1"/>
    <xf numFmtId="0" fontId="27" fillId="0" borderId="1" xfId="0" applyFont="1" applyFill="1" applyBorder="1" applyAlignment="1" applyProtection="1">
      <alignment vertical="center" wrapText="1"/>
    </xf>
    <xf numFmtId="0" fontId="11" fillId="0" borderId="1" xfId="0" applyFont="1" applyFill="1" applyBorder="1" applyAlignment="1" applyProtection="1">
      <alignment wrapText="1"/>
    </xf>
    <xf numFmtId="0" fontId="35" fillId="4" borderId="1" xfId="0" applyFont="1" applyFill="1" applyBorder="1" applyAlignment="1" applyProtection="1">
      <alignment wrapText="1"/>
    </xf>
    <xf numFmtId="0" fontId="11" fillId="0" borderId="1" xfId="0" applyFont="1" applyFill="1" applyBorder="1" applyAlignment="1" applyProtection="1"/>
    <xf numFmtId="0" fontId="35" fillId="4" borderId="1" xfId="0" applyFont="1" applyFill="1" applyBorder="1" applyAlignment="1" applyProtection="1">
      <alignment vertical="center" wrapText="1"/>
    </xf>
    <xf numFmtId="0" fontId="34" fillId="4" borderId="1" xfId="0" applyFont="1" applyFill="1" applyBorder="1" applyAlignment="1" applyProtection="1">
      <alignment horizontal="center" vertical="center" wrapText="1"/>
      <protection locked="0"/>
    </xf>
    <xf numFmtId="1" fontId="0" fillId="8" borderId="1" xfId="0" applyNumberFormat="1" applyFont="1" applyFill="1" applyBorder="1" applyAlignment="1" applyProtection="1">
      <alignment horizontal="center" vertical="center" wrapText="1"/>
      <protection locked="0"/>
    </xf>
    <xf numFmtId="2" fontId="34" fillId="4" borderId="1" xfId="0" applyNumberFormat="1" applyFont="1" applyFill="1" applyBorder="1" applyAlignment="1" applyProtection="1">
      <alignment horizontal="center" vertical="center" wrapText="1"/>
      <protection locked="0"/>
    </xf>
    <xf numFmtId="0" fontId="0" fillId="2" borderId="1" xfId="0" applyFont="1" applyFill="1" applyBorder="1" applyAlignment="1" applyProtection="1">
      <alignment horizontal="center"/>
      <protection locked="0"/>
    </xf>
    <xf numFmtId="0" fontId="0" fillId="0" borderId="1" xfId="0" applyFont="1" applyFill="1" applyBorder="1" applyAlignment="1" applyProtection="1">
      <alignment horizontal="center" vertical="center" wrapText="1"/>
      <protection locked="0"/>
    </xf>
    <xf numFmtId="0" fontId="41" fillId="0" borderId="0" xfId="0" applyFont="1"/>
    <xf numFmtId="0" fontId="0" fillId="10" borderId="1" xfId="0" applyFill="1" applyBorder="1" applyAlignment="1">
      <alignment horizontal="left" vertical="center" wrapText="1"/>
    </xf>
    <xf numFmtId="0" fontId="0" fillId="10" borderId="1" xfId="0" applyFill="1" applyBorder="1" applyAlignment="1">
      <alignment horizontal="center" vertical="center"/>
    </xf>
    <xf numFmtId="0" fontId="0" fillId="10" borderId="1" xfId="0" applyFill="1" applyBorder="1" applyAlignment="1">
      <alignment horizontal="left" vertical="center"/>
    </xf>
    <xf numFmtId="0" fontId="0" fillId="0" borderId="1" xfId="0" applyBorder="1" applyAlignment="1">
      <alignment horizontal="center" vertical="center"/>
    </xf>
    <xf numFmtId="0" fontId="0" fillId="0" borderId="0" xfId="0"/>
    <xf numFmtId="0" fontId="26" fillId="8" borderId="11" xfId="0" applyFont="1" applyFill="1" applyBorder="1" applyAlignment="1" applyProtection="1">
      <alignment horizontal="center" vertical="center"/>
      <protection locked="0"/>
    </xf>
    <xf numFmtId="0" fontId="26" fillId="8" borderId="11" xfId="0" applyFont="1" applyFill="1" applyBorder="1" applyAlignment="1">
      <alignment horizontal="center"/>
    </xf>
    <xf numFmtId="0" fontId="42" fillId="4" borderId="11" xfId="0" applyFont="1" applyFill="1" applyBorder="1" applyAlignment="1">
      <alignment horizontal="center"/>
    </xf>
    <xf numFmtId="0" fontId="0" fillId="0" borderId="0" xfId="0" applyFill="1" applyBorder="1" applyAlignment="1">
      <alignment horizontal="left"/>
    </xf>
    <xf numFmtId="0" fontId="27" fillId="0" borderId="1" xfId="0" applyFont="1" applyFill="1" applyBorder="1" applyAlignment="1">
      <alignment horizontal="right" wrapText="1"/>
    </xf>
    <xf numFmtId="0" fontId="11" fillId="0" borderId="1" xfId="0" applyFont="1" applyFill="1" applyBorder="1" applyAlignment="1">
      <alignment horizontal="right" wrapText="1"/>
    </xf>
    <xf numFmtId="0" fontId="0" fillId="0" borderId="44" xfId="0" applyBorder="1" applyAlignment="1">
      <alignment horizontal="left" vertical="center"/>
    </xf>
    <xf numFmtId="0" fontId="0" fillId="0" borderId="2" xfId="0" applyBorder="1" applyAlignment="1">
      <alignment horizontal="center" vertical="center"/>
    </xf>
    <xf numFmtId="0" fontId="0" fillId="0" borderId="2" xfId="0" applyBorder="1" applyAlignment="1">
      <alignment horizontal="left" vertical="center" wrapText="1"/>
    </xf>
    <xf numFmtId="0" fontId="11" fillId="0" borderId="0" xfId="0" applyFont="1" applyFill="1" applyBorder="1" applyAlignment="1">
      <alignment wrapText="1"/>
    </xf>
    <xf numFmtId="0" fontId="27" fillId="0" borderId="0" xfId="0" applyFont="1" applyFill="1" applyBorder="1" applyAlignment="1">
      <alignment horizontal="right" wrapText="1"/>
    </xf>
    <xf numFmtId="0" fontId="11" fillId="0" borderId="0" xfId="0" applyFont="1" applyFill="1" applyBorder="1" applyAlignment="1">
      <alignment horizontal="right" wrapText="1"/>
    </xf>
    <xf numFmtId="0" fontId="0" fillId="4" borderId="1" xfId="0" applyFont="1" applyFill="1" applyBorder="1" applyProtection="1"/>
    <xf numFmtId="0" fontId="0" fillId="9" borderId="9" xfId="0" applyFont="1" applyFill="1" applyBorder="1" applyProtection="1"/>
    <xf numFmtId="0" fontId="0" fillId="9" borderId="0" xfId="0" applyFont="1" applyFill="1" applyBorder="1" applyProtection="1"/>
    <xf numFmtId="0" fontId="0" fillId="9" borderId="14" xfId="0" applyFont="1" applyFill="1" applyBorder="1" applyProtection="1"/>
    <xf numFmtId="0" fontId="0" fillId="9" borderId="5" xfId="0" applyFont="1" applyFill="1" applyBorder="1" applyProtection="1"/>
    <xf numFmtId="0" fontId="0" fillId="9" borderId="6" xfId="0" applyFont="1" applyFill="1" applyBorder="1" applyProtection="1"/>
    <xf numFmtId="0" fontId="0" fillId="9" borderId="15" xfId="0" applyFont="1" applyFill="1" applyBorder="1" applyProtection="1"/>
    <xf numFmtId="3" fontId="26" fillId="8" borderId="1" xfId="0" applyNumberFormat="1" applyFont="1" applyFill="1" applyBorder="1" applyAlignment="1">
      <alignment horizontal="center"/>
    </xf>
    <xf numFmtId="0" fontId="24" fillId="8" borderId="1" xfId="0" applyFont="1" applyFill="1" applyBorder="1" applyAlignment="1" applyProtection="1">
      <alignment horizontal="center" vertical="center"/>
      <protection locked="0"/>
    </xf>
    <xf numFmtId="0" fontId="26" fillId="8" borderId="1" xfId="0" applyFont="1" applyFill="1" applyBorder="1" applyAlignment="1" applyProtection="1">
      <alignment horizontal="center" vertical="center"/>
      <protection locked="0"/>
    </xf>
    <xf numFmtId="0" fontId="26" fillId="8" borderId="1" xfId="0" applyFont="1" applyFill="1" applyBorder="1" applyAlignment="1">
      <alignment horizontal="center"/>
    </xf>
    <xf numFmtId="0" fontId="42" fillId="4" borderId="1" xfId="0" applyFont="1" applyFill="1" applyBorder="1" applyAlignment="1">
      <alignment horizontal="center"/>
    </xf>
    <xf numFmtId="0" fontId="42" fillId="4" borderId="1" xfId="0" applyFont="1" applyFill="1" applyBorder="1" applyAlignment="1" applyProtection="1">
      <alignment horizontal="center"/>
    </xf>
    <xf numFmtId="0" fontId="0" fillId="8" borderId="1" xfId="0" applyFont="1" applyFill="1" applyBorder="1" applyAlignment="1" applyProtection="1">
      <alignment horizontal="center"/>
    </xf>
    <xf numFmtId="0" fontId="8" fillId="4" borderId="1" xfId="0" applyFont="1" applyFill="1" applyBorder="1" applyProtection="1"/>
    <xf numFmtId="3" fontId="0" fillId="0" borderId="1" xfId="0" quotePrefix="1" applyNumberFormat="1" applyBorder="1" applyAlignment="1">
      <alignment horizontal="center"/>
    </xf>
    <xf numFmtId="3" fontId="0" fillId="10" borderId="1" xfId="0" quotePrefix="1" applyNumberFormat="1" applyFill="1" applyBorder="1" applyAlignment="1">
      <alignment horizontal="center"/>
    </xf>
    <xf numFmtId="0" fontId="0" fillId="8" borderId="3" xfId="0" applyFont="1" applyFill="1" applyBorder="1" applyProtection="1"/>
    <xf numFmtId="0" fontId="0" fillId="8" borderId="4" xfId="0" applyFont="1" applyFill="1" applyBorder="1" applyProtection="1"/>
    <xf numFmtId="0" fontId="0" fillId="8" borderId="11" xfId="0" applyFont="1" applyFill="1" applyBorder="1" applyProtection="1"/>
    <xf numFmtId="0" fontId="29" fillId="8" borderId="11" xfId="0" applyFont="1" applyFill="1" applyBorder="1" applyAlignment="1" applyProtection="1">
      <alignment vertical="center" wrapText="1"/>
    </xf>
    <xf numFmtId="166" fontId="0" fillId="11" borderId="7" xfId="0" applyNumberFormat="1" applyFill="1" applyBorder="1" applyAlignment="1">
      <alignment horizontal="center" vertical="center"/>
    </xf>
    <xf numFmtId="166" fontId="0" fillId="11" borderId="2" xfId="0" applyNumberFormat="1" applyFill="1" applyBorder="1" applyAlignment="1">
      <alignment horizontal="center" vertical="center"/>
    </xf>
    <xf numFmtId="166" fontId="0" fillId="11" borderId="8" xfId="0" applyNumberFormat="1" applyFill="1" applyBorder="1" applyAlignment="1">
      <alignment horizontal="center" vertical="center"/>
    </xf>
    <xf numFmtId="0" fontId="0" fillId="0" borderId="0" xfId="0"/>
    <xf numFmtId="0" fontId="11" fillId="0" borderId="0" xfId="0" applyFont="1" applyFill="1" applyBorder="1" applyAlignment="1">
      <alignment horizontal="center" vertical="center" wrapText="1"/>
    </xf>
    <xf numFmtId="0" fontId="0" fillId="0" borderId="10" xfId="0" applyBorder="1"/>
    <xf numFmtId="0" fontId="26" fillId="4" borderId="3" xfId="0" applyFont="1" applyFill="1" applyBorder="1" applyAlignment="1">
      <alignment horizontal="center" vertical="center" wrapText="1"/>
    </xf>
    <xf numFmtId="0" fontId="26" fillId="4" borderId="11" xfId="0" applyFont="1" applyFill="1" applyBorder="1" applyAlignment="1">
      <alignment horizontal="center" vertical="center" wrapText="1"/>
    </xf>
    <xf numFmtId="0" fontId="47" fillId="15" borderId="12" xfId="0" applyFont="1" applyFill="1" applyBorder="1"/>
    <xf numFmtId="0" fontId="47" fillId="15" borderId="9" xfId="0" applyFont="1" applyFill="1" applyBorder="1"/>
    <xf numFmtId="0" fontId="47" fillId="15" borderId="0" xfId="0" applyFont="1" applyFill="1" applyBorder="1"/>
    <xf numFmtId="165" fontId="50" fillId="0" borderId="0" xfId="32" applyNumberFormat="1" applyFont="1" applyFill="1" applyBorder="1" applyAlignment="1">
      <alignment vertical="center" wrapText="1"/>
    </xf>
    <xf numFmtId="0" fontId="47" fillId="0" borderId="0" xfId="0" applyFont="1" applyFill="1" applyBorder="1"/>
    <xf numFmtId="0" fontId="47" fillId="15" borderId="10" xfId="0" applyFont="1" applyFill="1" applyBorder="1"/>
    <xf numFmtId="0" fontId="0" fillId="15" borderId="10" xfId="0" applyFill="1" applyBorder="1"/>
    <xf numFmtId="0" fontId="0" fillId="15" borderId="0" xfId="0" applyFill="1" applyBorder="1"/>
    <xf numFmtId="0" fontId="0" fillId="15" borderId="50" xfId="0" applyFill="1" applyBorder="1"/>
    <xf numFmtId="0" fontId="0" fillId="15" borderId="52" xfId="0" applyFill="1" applyBorder="1"/>
    <xf numFmtId="0" fontId="47" fillId="15" borderId="55" xfId="0" applyFont="1" applyFill="1" applyBorder="1"/>
    <xf numFmtId="0" fontId="47" fillId="15" borderId="54" xfId="0" applyFont="1" applyFill="1" applyBorder="1"/>
    <xf numFmtId="0" fontId="0" fillId="15" borderId="54" xfId="0" applyFill="1" applyBorder="1"/>
    <xf numFmtId="0" fontId="0" fillId="15" borderId="56" xfId="0" applyFill="1" applyBorder="1"/>
    <xf numFmtId="0" fontId="0" fillId="0" borderId="51" xfId="0" applyBorder="1"/>
    <xf numFmtId="0" fontId="0" fillId="0" borderId="52" xfId="0" applyBorder="1"/>
    <xf numFmtId="0" fontId="0" fillId="0" borderId="51" xfId="0" applyFill="1" applyBorder="1"/>
    <xf numFmtId="0" fontId="0" fillId="0" borderId="53" xfId="0" applyBorder="1"/>
    <xf numFmtId="0" fontId="0" fillId="0" borderId="54" xfId="0" applyBorder="1"/>
    <xf numFmtId="0" fontId="0" fillId="0" borderId="56" xfId="0" applyBorder="1"/>
    <xf numFmtId="165" fontId="49" fillId="4" borderId="5" xfId="32" applyNumberFormat="1" applyFont="1" applyFill="1" applyBorder="1" applyAlignment="1">
      <alignment vertical="center" wrapText="1"/>
    </xf>
    <xf numFmtId="165" fontId="49" fillId="4" borderId="3" xfId="32" applyNumberFormat="1" applyFont="1" applyFill="1" applyBorder="1" applyAlignment="1">
      <alignment vertical="center" wrapText="1"/>
    </xf>
    <xf numFmtId="165" fontId="49" fillId="4" borderId="12" xfId="32" applyNumberFormat="1" applyFont="1" applyFill="1" applyBorder="1" applyAlignment="1">
      <alignment vertical="center" wrapText="1"/>
    </xf>
    <xf numFmtId="166" fontId="46" fillId="11" borderId="62" xfId="0" applyNumberFormat="1" applyFont="1" applyFill="1" applyBorder="1" applyAlignment="1">
      <alignment horizontal="center" vertical="center"/>
    </xf>
    <xf numFmtId="0" fontId="0" fillId="15" borderId="57" xfId="0" applyFill="1" applyBorder="1"/>
    <xf numFmtId="0" fontId="0" fillId="15" borderId="58" xfId="0" applyFill="1" applyBorder="1"/>
    <xf numFmtId="0" fontId="0" fillId="15" borderId="59" xfId="0" applyFill="1" applyBorder="1"/>
    <xf numFmtId="0" fontId="0" fillId="15" borderId="51" xfId="0" applyFill="1" applyBorder="1"/>
    <xf numFmtId="0" fontId="46" fillId="15" borderId="66" xfId="0" applyFont="1" applyFill="1" applyBorder="1" applyAlignment="1">
      <alignment horizontal="center"/>
    </xf>
    <xf numFmtId="166" fontId="46" fillId="0" borderId="62" xfId="0" applyNumberFormat="1" applyFont="1" applyBorder="1" applyAlignment="1">
      <alignment horizontal="center" vertical="center"/>
    </xf>
    <xf numFmtId="0" fontId="0" fillId="0" borderId="58" xfId="0" applyBorder="1"/>
    <xf numFmtId="0" fontId="0" fillId="0" borderId="59" xfId="0" applyBorder="1"/>
    <xf numFmtId="0" fontId="0" fillId="0" borderId="52" xfId="0" applyFill="1" applyBorder="1"/>
    <xf numFmtId="0" fontId="28" fillId="4" borderId="3" xfId="0" applyFont="1" applyFill="1" applyBorder="1" applyAlignment="1">
      <alignment horizontal="center"/>
    </xf>
    <xf numFmtId="0" fontId="28" fillId="4" borderId="11" xfId="0" applyFont="1" applyFill="1" applyBorder="1" applyAlignment="1">
      <alignment horizontal="center"/>
    </xf>
    <xf numFmtId="0" fontId="26" fillId="4" borderId="14" xfId="0" applyFont="1" applyFill="1" applyBorder="1" applyAlignment="1">
      <alignment horizontal="center" vertical="center" wrapText="1"/>
    </xf>
    <xf numFmtId="0" fontId="26" fillId="4" borderId="5" xfId="0" applyFont="1" applyFill="1" applyBorder="1" applyAlignment="1">
      <alignment horizontal="center" vertical="center" wrapText="1"/>
    </xf>
    <xf numFmtId="0" fontId="26" fillId="4" borderId="15" xfId="0" applyFont="1" applyFill="1" applyBorder="1" applyAlignment="1">
      <alignment horizontal="center" vertical="center" wrapText="1"/>
    </xf>
    <xf numFmtId="0" fontId="26" fillId="4" borderId="0" xfId="0" applyFont="1" applyFill="1" applyBorder="1" applyAlignment="1">
      <alignment horizontal="center" vertical="center" wrapText="1"/>
    </xf>
    <xf numFmtId="0" fontId="26" fillId="4" borderId="6" xfId="0" applyFont="1" applyFill="1" applyBorder="1" applyAlignment="1">
      <alignment horizontal="center" vertical="center" wrapText="1"/>
    </xf>
    <xf numFmtId="0" fontId="39" fillId="0" borderId="0" xfId="0" applyFont="1" applyFill="1" applyBorder="1" applyAlignment="1"/>
    <xf numFmtId="0" fontId="21" fillId="0" borderId="0" xfId="0" applyFont="1" applyFill="1" applyBorder="1" applyAlignment="1">
      <alignment vertical="center" wrapText="1"/>
    </xf>
    <xf numFmtId="0" fontId="39" fillId="0" borderId="57" xfId="0" applyFont="1" applyFill="1" applyBorder="1" applyAlignment="1"/>
    <xf numFmtId="0" fontId="39" fillId="0" borderId="58" xfId="0" applyFont="1" applyFill="1" applyBorder="1" applyAlignment="1"/>
    <xf numFmtId="0" fontId="6" fillId="0" borderId="58" xfId="0" applyFont="1" applyBorder="1" applyAlignment="1"/>
    <xf numFmtId="0" fontId="39" fillId="0" borderId="51" xfId="0" applyFont="1" applyFill="1" applyBorder="1" applyAlignment="1"/>
    <xf numFmtId="0" fontId="21" fillId="0" borderId="51" xfId="0" applyFont="1" applyFill="1" applyBorder="1" applyAlignment="1">
      <alignment vertical="center" wrapText="1"/>
    </xf>
    <xf numFmtId="0" fontId="0" fillId="0" borderId="57" xfId="0" applyBorder="1"/>
    <xf numFmtId="0" fontId="26" fillId="0" borderId="0" xfId="0" applyFont="1" applyBorder="1"/>
    <xf numFmtId="0" fontId="0" fillId="0" borderId="54" xfId="0" applyFill="1" applyBorder="1"/>
    <xf numFmtId="0" fontId="46" fillId="0" borderId="0" xfId="0" applyFont="1"/>
    <xf numFmtId="0" fontId="47" fillId="0" borderId="0" xfId="0" applyFont="1" applyBorder="1" applyAlignment="1">
      <alignment vertical="center" wrapText="1"/>
    </xf>
    <xf numFmtId="0" fontId="47" fillId="0" borderId="6" xfId="0" applyFont="1" applyBorder="1" applyAlignment="1">
      <alignment vertical="center" wrapText="1"/>
    </xf>
    <xf numFmtId="0" fontId="61" fillId="0" borderId="0" xfId="0" applyFont="1" applyFill="1" applyBorder="1"/>
    <xf numFmtId="0" fontId="58" fillId="0" borderId="1" xfId="0" applyFont="1" applyFill="1" applyBorder="1" applyAlignment="1">
      <alignment horizontal="center" wrapText="1"/>
    </xf>
    <xf numFmtId="0" fontId="46" fillId="0" borderId="11" xfId="0" quotePrefix="1" applyFont="1" applyBorder="1" applyAlignment="1">
      <alignment horizontal="center"/>
    </xf>
    <xf numFmtId="3" fontId="46" fillId="0" borderId="0" xfId="0" applyNumberFormat="1" applyFont="1"/>
    <xf numFmtId="0" fontId="46" fillId="0" borderId="11" xfId="0" quotePrefix="1" applyFont="1" applyFill="1" applyBorder="1" applyAlignment="1" applyProtection="1">
      <alignment horizontal="center"/>
      <protection locked="0"/>
    </xf>
    <xf numFmtId="0" fontId="54" fillId="0" borderId="0" xfId="0" applyFont="1" applyFill="1" applyBorder="1" applyAlignment="1">
      <alignment horizontal="left" wrapText="1"/>
    </xf>
    <xf numFmtId="0" fontId="46" fillId="0" borderId="0" xfId="0" applyFont="1" applyBorder="1"/>
    <xf numFmtId="0" fontId="46" fillId="0" borderId="0" xfId="0" applyFont="1" applyFill="1" applyBorder="1"/>
    <xf numFmtId="0" fontId="54" fillId="16" borderId="11" xfId="0" applyFont="1" applyFill="1" applyBorder="1" applyAlignment="1" applyProtection="1">
      <alignment horizontal="center" vertical="center" wrapText="1"/>
      <protection locked="0"/>
    </xf>
    <xf numFmtId="0" fontId="4" fillId="16" borderId="1" xfId="0" applyFont="1" applyFill="1" applyBorder="1" applyAlignment="1" applyProtection="1">
      <alignment horizontal="center" vertical="center" wrapText="1"/>
      <protection locked="0"/>
    </xf>
    <xf numFmtId="0" fontId="46" fillId="15" borderId="47" xfId="0" applyFont="1" applyFill="1" applyBorder="1"/>
    <xf numFmtId="0" fontId="60" fillId="0" borderId="0" xfId="0" applyFont="1" applyFill="1" applyBorder="1"/>
    <xf numFmtId="0" fontId="46" fillId="0" borderId="52" xfId="0" applyFont="1" applyBorder="1"/>
    <xf numFmtId="0" fontId="61" fillId="0" borderId="52" xfId="0" applyFont="1" applyFill="1" applyBorder="1"/>
    <xf numFmtId="0" fontId="46" fillId="0" borderId="54" xfId="0" applyFont="1" applyBorder="1"/>
    <xf numFmtId="0" fontId="46" fillId="0" borderId="56" xfId="0" applyFont="1" applyBorder="1"/>
    <xf numFmtId="0" fontId="53" fillId="14" borderId="67" xfId="0" applyFont="1" applyFill="1" applyBorder="1" applyAlignment="1">
      <alignment horizontal="left" vertical="center" wrapText="1"/>
    </xf>
    <xf numFmtId="0" fontId="53" fillId="14" borderId="2" xfId="0" applyFont="1" applyFill="1" applyBorder="1" applyAlignment="1">
      <alignment horizontal="center" vertical="center" wrapText="1"/>
    </xf>
    <xf numFmtId="0" fontId="46" fillId="0" borderId="0" xfId="0" applyFont="1" applyBorder="1" applyAlignment="1"/>
    <xf numFmtId="0" fontId="57" fillId="0" borderId="0" xfId="0" applyFont="1" applyBorder="1"/>
    <xf numFmtId="0" fontId="57" fillId="0" borderId="52" xfId="0" applyFont="1" applyBorder="1"/>
    <xf numFmtId="0" fontId="47" fillId="0" borderId="52" xfId="0" applyFont="1" applyBorder="1" applyAlignment="1">
      <alignment vertical="center" wrapText="1"/>
    </xf>
    <xf numFmtId="0" fontId="47" fillId="0" borderId="64" xfId="0" applyFont="1" applyBorder="1" applyAlignment="1">
      <alignment vertical="center" wrapText="1"/>
    </xf>
    <xf numFmtId="0" fontId="63" fillId="0" borderId="51" xfId="0" applyFont="1" applyFill="1" applyBorder="1" applyAlignment="1"/>
    <xf numFmtId="0" fontId="46" fillId="0" borderId="51" xfId="0" applyFont="1" applyBorder="1"/>
    <xf numFmtId="0" fontId="47" fillId="0" borderId="0" xfId="0" applyFont="1" applyBorder="1"/>
    <xf numFmtId="0" fontId="46" fillId="0" borderId="53" xfId="0" applyFont="1" applyBorder="1"/>
    <xf numFmtId="0" fontId="46" fillId="0" borderId="51" xfId="0" applyFont="1" applyBorder="1" applyAlignment="1"/>
    <xf numFmtId="0" fontId="59" fillId="0" borderId="0" xfId="0" applyFont="1"/>
    <xf numFmtId="0" fontId="53" fillId="0" borderId="0" xfId="0" applyFont="1" applyFill="1" applyBorder="1" applyAlignment="1">
      <alignment vertical="center"/>
    </xf>
    <xf numFmtId="0" fontId="59" fillId="0" borderId="0" xfId="0" applyFont="1" applyAlignment="1">
      <alignment horizontal="left"/>
    </xf>
    <xf numFmtId="0" fontId="29" fillId="17" borderId="6" xfId="0" applyFont="1" applyFill="1" applyBorder="1" applyAlignment="1">
      <alignment vertical="center" wrapText="1"/>
    </xf>
    <xf numFmtId="0" fontId="9" fillId="0" borderId="51" xfId="0" applyFont="1" applyBorder="1"/>
    <xf numFmtId="0" fontId="11" fillId="0" borderId="47" xfId="0" applyFont="1" applyFill="1" applyBorder="1" applyAlignment="1">
      <alignment wrapText="1"/>
    </xf>
    <xf numFmtId="0" fontId="9" fillId="0" borderId="0" xfId="0" applyFont="1" applyBorder="1"/>
    <xf numFmtId="0" fontId="11" fillId="0" borderId="67" xfId="0" applyFont="1" applyFill="1" applyBorder="1" applyAlignment="1">
      <alignment wrapText="1"/>
    </xf>
    <xf numFmtId="0" fontId="27" fillId="0" borderId="47" xfId="0" applyFont="1" applyFill="1" applyBorder="1" applyAlignment="1">
      <alignment horizontal="right" wrapText="1"/>
    </xf>
    <xf numFmtId="0" fontId="11" fillId="0" borderId="47" xfId="0" applyFont="1" applyFill="1" applyBorder="1" applyAlignment="1">
      <alignment horizontal="right" wrapText="1"/>
    </xf>
    <xf numFmtId="0" fontId="0" fillId="0" borderId="49" xfId="0" applyBorder="1"/>
    <xf numFmtId="0" fontId="0" fillId="0" borderId="67" xfId="0" applyBorder="1"/>
    <xf numFmtId="0" fontId="0" fillId="14" borderId="10" xfId="0" applyFill="1" applyBorder="1"/>
    <xf numFmtId="0" fontId="0" fillId="14" borderId="13" xfId="0" applyFill="1" applyBorder="1"/>
    <xf numFmtId="0" fontId="0" fillId="15" borderId="14" xfId="0" applyFill="1" applyBorder="1"/>
    <xf numFmtId="0" fontId="0" fillId="15" borderId="12" xfId="0" applyFill="1" applyBorder="1"/>
    <xf numFmtId="0" fontId="0" fillId="15" borderId="13" xfId="0" applyFill="1" applyBorder="1"/>
    <xf numFmtId="0" fontId="0" fillId="15" borderId="5" xfId="0" applyFill="1" applyBorder="1"/>
    <xf numFmtId="0" fontId="0" fillId="15" borderId="6" xfId="0" applyFill="1" applyBorder="1"/>
    <xf numFmtId="0" fontId="0" fillId="15" borderId="15" xfId="0" applyFill="1" applyBorder="1"/>
    <xf numFmtId="0" fontId="0" fillId="0" borderId="0" xfId="0" applyBorder="1" applyAlignment="1">
      <alignment horizontal="left"/>
    </xf>
    <xf numFmtId="0" fontId="0" fillId="0" borderId="52" xfId="0" applyBorder="1" applyAlignment="1">
      <alignment horizontal="left"/>
    </xf>
    <xf numFmtId="0" fontId="0" fillId="0" borderId="53" xfId="0" applyFont="1" applyBorder="1"/>
    <xf numFmtId="0" fontId="0" fillId="0" borderId="54" xfId="0" applyFont="1" applyBorder="1"/>
    <xf numFmtId="0" fontId="0" fillId="15" borderId="9" xfId="0" applyFill="1" applyBorder="1"/>
    <xf numFmtId="0" fontId="11" fillId="15" borderId="1" xfId="0" applyFont="1" applyFill="1" applyBorder="1" applyAlignment="1" applyProtection="1">
      <alignment horizontal="left" wrapText="1"/>
    </xf>
    <xf numFmtId="0" fontId="0" fillId="16" borderId="1" xfId="0" applyFont="1" applyFill="1" applyBorder="1" applyAlignment="1" applyProtection="1">
      <alignment horizontal="center"/>
      <protection locked="0"/>
    </xf>
    <xf numFmtId="0" fontId="0" fillId="16" borderId="1" xfId="0" applyFont="1" applyFill="1" applyBorder="1" applyAlignment="1" applyProtection="1">
      <alignment horizontal="center" vertical="center" wrapText="1"/>
      <protection locked="0"/>
    </xf>
    <xf numFmtId="0" fontId="36" fillId="17" borderId="1" xfId="0" applyFont="1" applyFill="1" applyBorder="1" applyAlignment="1" applyProtection="1">
      <alignment horizontal="center" vertical="center" wrapText="1"/>
    </xf>
    <xf numFmtId="0" fontId="29" fillId="17" borderId="3" xfId="0" applyFont="1" applyFill="1" applyBorder="1" applyAlignment="1" applyProtection="1">
      <alignment vertical="center" wrapText="1"/>
    </xf>
    <xf numFmtId="0" fontId="29" fillId="17" borderId="11" xfId="0" applyFont="1" applyFill="1" applyBorder="1" applyAlignment="1" applyProtection="1">
      <alignment vertical="center" wrapText="1"/>
    </xf>
    <xf numFmtId="0" fontId="29" fillId="17" borderId="4" xfId="0" applyFont="1" applyFill="1" applyBorder="1" applyAlignment="1" applyProtection="1">
      <alignment vertical="center" wrapText="1"/>
    </xf>
    <xf numFmtId="0" fontId="0" fillId="17" borderId="1" xfId="0" applyFont="1" applyFill="1" applyBorder="1" applyAlignment="1" applyProtection="1">
      <alignment horizontal="center" vertical="center" wrapText="1"/>
      <protection locked="0"/>
    </xf>
    <xf numFmtId="1" fontId="0" fillId="17" borderId="1" xfId="0" applyNumberFormat="1" applyFont="1" applyFill="1" applyBorder="1" applyAlignment="1" applyProtection="1">
      <alignment horizontal="center" vertical="center" wrapText="1"/>
      <protection locked="0"/>
    </xf>
    <xf numFmtId="2" fontId="0" fillId="17" borderId="1" xfId="0" applyNumberFormat="1" applyFont="1" applyFill="1" applyBorder="1" applyAlignment="1" applyProtection="1">
      <alignment horizontal="center" vertical="center" wrapText="1"/>
      <protection locked="0"/>
    </xf>
    <xf numFmtId="0" fontId="34" fillId="17" borderId="1" xfId="0" applyFont="1" applyFill="1" applyBorder="1" applyAlignment="1" applyProtection="1">
      <alignment horizontal="center" vertical="center" wrapText="1"/>
      <protection locked="0"/>
    </xf>
    <xf numFmtId="0" fontId="11" fillId="15" borderId="1" xfId="0" applyFont="1" applyFill="1" applyBorder="1" applyAlignment="1">
      <alignment horizontal="center" vertical="center" wrapText="1"/>
    </xf>
    <xf numFmtId="0" fontId="0" fillId="15" borderId="1" xfId="0" applyFill="1" applyBorder="1" applyAlignment="1">
      <alignment horizontal="center"/>
    </xf>
    <xf numFmtId="0" fontId="0" fillId="15" borderId="53" xfId="0" applyFill="1" applyBorder="1"/>
    <xf numFmtId="165" fontId="25" fillId="15" borderId="63" xfId="32" applyNumberFormat="1" applyFont="1" applyFill="1" applyBorder="1" applyAlignment="1">
      <alignment vertical="center" wrapText="1"/>
    </xf>
    <xf numFmtId="165" fontId="25" fillId="15" borderId="16" xfId="32" applyNumberFormat="1" applyFont="1" applyFill="1" applyBorder="1" applyAlignment="1">
      <alignment vertical="center" wrapText="1"/>
    </xf>
    <xf numFmtId="165" fontId="25" fillId="15" borderId="49" xfId="32" applyNumberFormat="1" applyFont="1" applyFill="1" applyBorder="1" applyAlignment="1">
      <alignment vertical="center" wrapText="1"/>
    </xf>
    <xf numFmtId="0" fontId="11" fillId="15" borderId="47" xfId="0" applyFont="1" applyFill="1" applyBorder="1" applyAlignment="1">
      <alignment horizontal="center" vertical="center" wrapText="1"/>
    </xf>
    <xf numFmtId="0" fontId="0" fillId="0" borderId="49" xfId="0" applyBorder="1" applyAlignment="1"/>
    <xf numFmtId="0" fontId="0" fillId="0" borderId="51" xfId="0" applyBorder="1" applyAlignment="1"/>
    <xf numFmtId="0" fontId="0" fillId="0" borderId="0" xfId="0" applyBorder="1" applyAlignment="1"/>
    <xf numFmtId="0" fontId="0" fillId="0" borderId="53" xfId="0" applyBorder="1" applyAlignment="1"/>
    <xf numFmtId="0" fontId="0" fillId="0" borderId="54" xfId="0" applyBorder="1" applyAlignment="1"/>
    <xf numFmtId="0" fontId="56" fillId="14" borderId="7" xfId="0" applyFont="1" applyFill="1" applyBorder="1" applyAlignment="1">
      <alignment horizontal="center" vertical="center"/>
    </xf>
    <xf numFmtId="0" fontId="56" fillId="14" borderId="7" xfId="0" applyFont="1" applyFill="1" applyBorder="1" applyAlignment="1">
      <alignment vertical="center"/>
    </xf>
    <xf numFmtId="0" fontId="56" fillId="14" borderId="29" xfId="0" applyFont="1" applyFill="1" applyBorder="1" applyAlignment="1">
      <alignment vertical="center"/>
    </xf>
    <xf numFmtId="0" fontId="39" fillId="15" borderId="1" xfId="0" applyFont="1" applyFill="1" applyBorder="1" applyAlignment="1">
      <alignment horizontal="center"/>
    </xf>
    <xf numFmtId="0" fontId="10" fillId="15" borderId="1" xfId="0" applyFont="1" applyFill="1" applyBorder="1" applyAlignment="1">
      <alignment horizontal="center"/>
    </xf>
    <xf numFmtId="0" fontId="10" fillId="15" borderId="7" xfId="0" applyFont="1" applyFill="1" applyBorder="1" applyAlignment="1">
      <alignment vertical="center"/>
    </xf>
    <xf numFmtId="3" fontId="54" fillId="16" borderId="1" xfId="0" applyNumberFormat="1" applyFont="1" applyFill="1" applyBorder="1" applyAlignment="1" applyProtection="1">
      <alignment horizontal="center" vertical="center"/>
      <protection locked="0"/>
    </xf>
    <xf numFmtId="0" fontId="54" fillId="0" borderId="1" xfId="0" quotePrefix="1" applyFont="1" applyBorder="1" applyAlignment="1">
      <alignment horizontal="center"/>
    </xf>
    <xf numFmtId="0" fontId="54" fillId="16" borderId="1" xfId="0" quotePrefix="1" applyFont="1" applyFill="1" applyBorder="1" applyAlignment="1" applyProtection="1">
      <alignment horizontal="center"/>
      <protection locked="0"/>
    </xf>
    <xf numFmtId="0" fontId="70" fillId="0" borderId="1" xfId="0" applyFont="1" applyFill="1" applyBorder="1" applyAlignment="1">
      <alignment horizontal="center"/>
    </xf>
    <xf numFmtId="0" fontId="70" fillId="16" borderId="1" xfId="0" applyFont="1" applyFill="1" applyBorder="1" applyAlignment="1" applyProtection="1">
      <alignment horizontal="center" vertical="center" wrapText="1"/>
      <protection locked="0"/>
    </xf>
    <xf numFmtId="0" fontId="54" fillId="16" borderId="1" xfId="0" applyFont="1" applyFill="1" applyBorder="1" applyAlignment="1" applyProtection="1">
      <alignment horizontal="center"/>
      <protection locked="0"/>
    </xf>
    <xf numFmtId="0" fontId="12" fillId="0" borderId="0" xfId="0" applyFont="1" applyBorder="1" applyAlignment="1">
      <alignment vertical="center" wrapText="1"/>
    </xf>
    <xf numFmtId="0" fontId="10" fillId="0" borderId="0" xfId="0" applyFont="1"/>
    <xf numFmtId="0" fontId="10" fillId="0" borderId="0" xfId="0" applyFont="1" applyBorder="1"/>
    <xf numFmtId="0" fontId="10" fillId="0" borderId="0" xfId="0" applyFont="1" applyFill="1" applyBorder="1"/>
    <xf numFmtId="0" fontId="71" fillId="0" borderId="0" xfId="0" applyFont="1" applyAlignment="1">
      <alignment vertical="center"/>
    </xf>
    <xf numFmtId="0" fontId="73" fillId="0" borderId="0" xfId="0" applyFont="1"/>
    <xf numFmtId="0" fontId="11" fillId="0" borderId="1" xfId="0" applyFont="1" applyBorder="1" applyAlignment="1">
      <alignment horizontal="center" vertical="center"/>
    </xf>
    <xf numFmtId="2" fontId="18" fillId="12" borderId="1" xfId="0" applyNumberFormat="1" applyFont="1" applyFill="1" applyBorder="1" applyAlignment="1" applyProtection="1">
      <alignment horizontal="center"/>
      <protection locked="0"/>
    </xf>
    <xf numFmtId="0" fontId="75" fillId="0" borderId="9" xfId="0" applyFont="1" applyBorder="1" applyAlignment="1">
      <alignment horizontal="left" vertical="center" indent="1"/>
    </xf>
    <xf numFmtId="0" fontId="59" fillId="0" borderId="0" xfId="0" applyFont="1" applyBorder="1" applyAlignment="1">
      <alignment vertical="center" wrapText="1"/>
    </xf>
    <xf numFmtId="0" fontId="54" fillId="0" borderId="1" xfId="0" applyFont="1" applyBorder="1" applyAlignment="1" applyProtection="1">
      <alignment horizontal="center"/>
      <protection locked="0"/>
    </xf>
    <xf numFmtId="0" fontId="11" fillId="15" borderId="1" xfId="0" applyFont="1" applyFill="1" applyBorder="1" applyAlignment="1">
      <alignment wrapText="1"/>
    </xf>
    <xf numFmtId="0" fontId="0" fillId="0" borderId="1" xfId="0" applyFont="1" applyBorder="1" applyAlignment="1">
      <alignment horizontal="center"/>
    </xf>
    <xf numFmtId="0" fontId="18" fillId="15" borderId="72" xfId="0" applyFont="1" applyFill="1" applyBorder="1" applyAlignment="1">
      <alignment horizontal="left" vertical="center"/>
    </xf>
    <xf numFmtId="0" fontId="18" fillId="15" borderId="47" xfId="0" applyFont="1" applyFill="1" applyBorder="1" applyAlignment="1">
      <alignment vertical="center" wrapText="1"/>
    </xf>
    <xf numFmtId="0" fontId="11" fillId="15" borderId="47" xfId="0" applyFont="1" applyFill="1" applyBorder="1" applyAlignment="1">
      <alignment wrapText="1"/>
    </xf>
    <xf numFmtId="166" fontId="0" fillId="4" borderId="7" xfId="0" applyNumberFormat="1" applyFill="1" applyBorder="1" applyAlignment="1">
      <alignment horizontal="center" vertical="center"/>
    </xf>
    <xf numFmtId="166" fontId="0" fillId="4" borderId="2" xfId="0" applyNumberFormat="1" applyFill="1" applyBorder="1" applyAlignment="1">
      <alignment horizontal="center" vertical="center"/>
    </xf>
    <xf numFmtId="0" fontId="79" fillId="11" borderId="11" xfId="0" applyFont="1" applyFill="1" applyBorder="1" applyAlignment="1" applyProtection="1">
      <alignment horizontal="center" vertical="center" wrapText="1"/>
      <protection locked="0"/>
    </xf>
    <xf numFmtId="3" fontId="79" fillId="11" borderId="1" xfId="0" applyNumberFormat="1" applyFont="1" applyFill="1" applyBorder="1" applyAlignment="1" applyProtection="1">
      <alignment horizontal="center" vertical="center"/>
      <protection locked="0"/>
    </xf>
    <xf numFmtId="3" fontId="79" fillId="11" borderId="33" xfId="0" applyNumberFormat="1" applyFont="1" applyFill="1" applyBorder="1" applyAlignment="1" applyProtection="1">
      <alignment horizontal="center" vertical="center"/>
      <protection locked="0"/>
    </xf>
    <xf numFmtId="0" fontId="79" fillId="11" borderId="1" xfId="0" applyFont="1" applyFill="1" applyBorder="1" applyAlignment="1" applyProtection="1">
      <alignment horizontal="center"/>
      <protection locked="0"/>
    </xf>
    <xf numFmtId="0" fontId="79" fillId="11" borderId="33" xfId="0" applyFont="1" applyFill="1" applyBorder="1" applyAlignment="1" applyProtection="1">
      <alignment horizontal="center"/>
      <protection locked="0"/>
    </xf>
    <xf numFmtId="0" fontId="46" fillId="15" borderId="16" xfId="0" applyFont="1" applyFill="1" applyBorder="1" applyAlignment="1">
      <alignment horizontal="center"/>
    </xf>
    <xf numFmtId="166" fontId="46" fillId="0" borderId="73" xfId="0" applyNumberFormat="1" applyFont="1" applyBorder="1" applyAlignment="1">
      <alignment horizontal="center" vertical="center"/>
    </xf>
    <xf numFmtId="166" fontId="46" fillId="11" borderId="73" xfId="0" applyNumberFormat="1" applyFont="1" applyFill="1" applyBorder="1" applyAlignment="1">
      <alignment horizontal="center" vertical="center"/>
    </xf>
    <xf numFmtId="166" fontId="46" fillId="0" borderId="66" xfId="0" applyNumberFormat="1" applyFont="1" applyBorder="1" applyAlignment="1">
      <alignment horizontal="center" vertical="center"/>
    </xf>
    <xf numFmtId="166" fontId="46" fillId="11" borderId="66" xfId="0" applyNumberFormat="1" applyFont="1" applyFill="1" applyBorder="1" applyAlignment="1">
      <alignment horizontal="center" vertical="center"/>
    </xf>
    <xf numFmtId="0" fontId="46" fillId="15" borderId="74" xfId="0" applyFont="1" applyFill="1" applyBorder="1" applyAlignment="1">
      <alignment horizontal="center"/>
    </xf>
    <xf numFmtId="166" fontId="46" fillId="11" borderId="50" xfId="0" applyNumberFormat="1" applyFont="1" applyFill="1" applyBorder="1" applyAlignment="1">
      <alignment horizontal="center" vertical="center"/>
    </xf>
    <xf numFmtId="166" fontId="46" fillId="11" borderId="64" xfId="0" applyNumberFormat="1" applyFont="1" applyFill="1" applyBorder="1" applyAlignment="1">
      <alignment horizontal="center" vertical="center"/>
    </xf>
    <xf numFmtId="0" fontId="46" fillId="15" borderId="73" xfId="0" applyFont="1" applyFill="1" applyBorder="1" applyAlignment="1">
      <alignment horizontal="center"/>
    </xf>
    <xf numFmtId="0" fontId="12" fillId="0" borderId="0" xfId="0" applyFont="1" applyBorder="1" applyAlignment="1">
      <alignment vertical="center" wrapText="1"/>
    </xf>
    <xf numFmtId="0" fontId="58" fillId="15" borderId="65" xfId="0" applyFont="1" applyFill="1" applyBorder="1" applyAlignment="1">
      <alignment horizontal="center" vertical="center" wrapText="1"/>
    </xf>
    <xf numFmtId="0" fontId="58" fillId="15" borderId="12" xfId="0" applyFont="1" applyFill="1" applyBorder="1" applyAlignment="1">
      <alignment horizontal="center" vertical="center" wrapText="1"/>
    </xf>
    <xf numFmtId="0" fontId="58" fillId="15" borderId="60" xfId="0" applyFont="1" applyFill="1" applyBorder="1" applyAlignment="1">
      <alignment horizontal="center" vertical="center" wrapText="1"/>
    </xf>
    <xf numFmtId="0" fontId="58" fillId="15" borderId="13" xfId="0" applyFont="1" applyFill="1" applyBorder="1" applyAlignment="1">
      <alignment horizontal="center" vertical="center" wrapText="1"/>
    </xf>
    <xf numFmtId="0" fontId="58" fillId="15" borderId="7" xfId="0" applyFont="1" applyFill="1" applyBorder="1" applyAlignment="1">
      <alignment horizontal="center" vertical="center" wrapText="1"/>
    </xf>
    <xf numFmtId="165" fontId="49" fillId="15" borderId="63" xfId="32" applyNumberFormat="1" applyFont="1" applyFill="1" applyBorder="1" applyAlignment="1">
      <alignment vertical="center" wrapText="1"/>
    </xf>
    <xf numFmtId="165" fontId="49" fillId="15" borderId="16" xfId="32" applyNumberFormat="1" applyFont="1" applyFill="1" applyBorder="1" applyAlignment="1">
      <alignment vertical="center" wrapText="1"/>
    </xf>
    <xf numFmtId="165" fontId="49" fillId="15" borderId="49" xfId="32" applyNumberFormat="1" applyFont="1" applyFill="1" applyBorder="1" applyAlignment="1">
      <alignment vertical="center" wrapText="1"/>
    </xf>
    <xf numFmtId="165" fontId="49" fillId="15" borderId="5" xfId="32" applyNumberFormat="1" applyFont="1" applyFill="1" applyBorder="1" applyAlignment="1">
      <alignment vertical="center" wrapText="1"/>
    </xf>
    <xf numFmtId="165" fontId="49" fillId="15" borderId="3" xfId="32" applyNumberFormat="1" applyFont="1" applyFill="1" applyBorder="1" applyAlignment="1">
      <alignment vertical="center" wrapText="1"/>
    </xf>
    <xf numFmtId="165" fontId="81" fillId="15" borderId="3" xfId="32" applyNumberFormat="1" applyFont="1" applyFill="1" applyBorder="1" applyAlignment="1">
      <alignment vertical="center" wrapText="1"/>
    </xf>
    <xf numFmtId="165" fontId="81" fillId="15" borderId="12" xfId="32" applyNumberFormat="1" applyFont="1" applyFill="1" applyBorder="1" applyAlignment="1">
      <alignment vertical="center" wrapText="1"/>
    </xf>
    <xf numFmtId="0" fontId="56" fillId="14" borderId="0" xfId="0" applyFont="1" applyFill="1" applyBorder="1" applyAlignment="1">
      <alignment horizontal="center" vertical="center" wrapText="1"/>
    </xf>
    <xf numFmtId="0" fontId="56" fillId="14" borderId="0" xfId="0" applyFont="1" applyFill="1" applyBorder="1" applyAlignment="1">
      <alignment horizontal="center" vertical="center"/>
    </xf>
    <xf numFmtId="0" fontId="12" fillId="0" borderId="0" xfId="0" applyFont="1" applyBorder="1" applyAlignment="1">
      <alignment horizontal="left" vertical="center" wrapText="1"/>
    </xf>
    <xf numFmtId="0" fontId="12" fillId="0" borderId="0" xfId="0" applyFont="1" applyFill="1" applyBorder="1" applyAlignment="1">
      <alignment horizontal="left" vertical="center" wrapText="1"/>
    </xf>
    <xf numFmtId="0" fontId="15" fillId="0" borderId="0" xfId="0" applyFont="1" applyBorder="1" applyAlignment="1">
      <alignment horizontal="left" vertical="center" wrapText="1"/>
    </xf>
    <xf numFmtId="0" fontId="10" fillId="0" borderId="0" xfId="0" applyFont="1" applyFill="1" applyBorder="1" applyAlignment="1">
      <alignment horizontal="left" vertical="center"/>
    </xf>
    <xf numFmtId="164" fontId="14" fillId="16" borderId="1" xfId="2" quotePrefix="1" applyFont="1" applyFill="1" applyBorder="1" applyProtection="1"/>
    <xf numFmtId="164" fontId="14" fillId="18" borderId="1" xfId="2" quotePrefix="1" applyFont="1" applyFill="1" applyBorder="1" applyProtection="1"/>
    <xf numFmtId="0" fontId="0" fillId="17" borderId="1" xfId="0" applyFont="1" applyFill="1" applyBorder="1"/>
    <xf numFmtId="164" fontId="14" fillId="3" borderId="1" xfId="2" quotePrefix="1" applyFont="1" applyFill="1" applyBorder="1" applyProtection="1"/>
    <xf numFmtId="0" fontId="12" fillId="0" borderId="0" xfId="0" applyFont="1" applyBorder="1" applyAlignment="1">
      <alignment vertical="center" wrapText="1"/>
    </xf>
    <xf numFmtId="0" fontId="10" fillId="0" borderId="0" xfId="0" applyFont="1" applyFill="1" applyBorder="1" applyAlignment="1">
      <alignment horizontal="left"/>
    </xf>
    <xf numFmtId="0" fontId="18" fillId="0" borderId="0" xfId="0" applyFont="1" applyFill="1" applyBorder="1" applyAlignment="1">
      <alignment horizontal="left" vertical="center" wrapText="1"/>
    </xf>
    <xf numFmtId="17" fontId="10" fillId="0" borderId="0" xfId="0" applyNumberFormat="1" applyFont="1" applyFill="1" applyBorder="1" applyAlignment="1">
      <alignment horizontal="left" vertical="center"/>
    </xf>
    <xf numFmtId="0" fontId="12" fillId="0" borderId="0" xfId="0" applyFont="1" applyBorder="1" applyAlignment="1">
      <alignment horizontal="left" vertical="top" wrapText="1"/>
    </xf>
    <xf numFmtId="0" fontId="44" fillId="14" borderId="57" xfId="0" applyFont="1" applyFill="1" applyBorder="1" applyAlignment="1">
      <alignment horizontal="center"/>
    </xf>
    <xf numFmtId="0" fontId="44" fillId="14" borderId="58" xfId="0" applyFont="1" applyFill="1" applyBorder="1" applyAlignment="1">
      <alignment horizontal="center"/>
    </xf>
    <xf numFmtId="0" fontId="44" fillId="14" borderId="59" xfId="0" applyFont="1" applyFill="1" applyBorder="1" applyAlignment="1">
      <alignment horizontal="center"/>
    </xf>
    <xf numFmtId="0" fontId="48" fillId="15" borderId="51" xfId="0" applyFont="1" applyFill="1" applyBorder="1" applyAlignment="1">
      <alignment horizontal="center" vertical="center" wrapText="1"/>
    </xf>
    <xf numFmtId="0" fontId="48" fillId="15" borderId="0" xfId="0" applyFont="1" applyFill="1" applyBorder="1" applyAlignment="1">
      <alignment horizontal="center" vertical="center" wrapText="1"/>
    </xf>
    <xf numFmtId="0" fontId="48" fillId="15" borderId="52" xfId="0" applyFont="1" applyFill="1" applyBorder="1" applyAlignment="1">
      <alignment horizontal="center" vertical="center" wrapText="1"/>
    </xf>
    <xf numFmtId="165" fontId="49" fillId="0" borderId="45" xfId="32" applyNumberFormat="1" applyFont="1" applyBorder="1" applyAlignment="1">
      <alignment horizontal="right" vertical="center" wrapText="1"/>
    </xf>
    <xf numFmtId="165" fontId="49" fillId="0" borderId="43" xfId="32" applyNumberFormat="1" applyFont="1" applyBorder="1" applyAlignment="1">
      <alignment horizontal="right" vertical="center" wrapText="1"/>
    </xf>
    <xf numFmtId="165" fontId="49" fillId="0" borderId="47" xfId="32" applyNumberFormat="1" applyFont="1" applyBorder="1" applyAlignment="1">
      <alignment horizontal="right" vertical="center" wrapText="1"/>
    </xf>
    <xf numFmtId="165" fontId="49" fillId="0" borderId="1" xfId="32" applyNumberFormat="1" applyFont="1" applyBorder="1" applyAlignment="1">
      <alignment horizontal="right" vertical="center" wrapText="1"/>
    </xf>
    <xf numFmtId="165" fontId="50" fillId="14" borderId="49" xfId="32" applyNumberFormat="1" applyFont="1" applyFill="1" applyBorder="1" applyAlignment="1">
      <alignment horizontal="center" vertical="center" wrapText="1"/>
    </xf>
    <xf numFmtId="165" fontId="50" fillId="14" borderId="10" xfId="32" applyNumberFormat="1" applyFont="1" applyFill="1" applyBorder="1" applyAlignment="1">
      <alignment horizontal="center" vertical="center" wrapText="1"/>
    </xf>
    <xf numFmtId="165" fontId="50" fillId="14" borderId="51" xfId="32" applyNumberFormat="1" applyFont="1" applyFill="1" applyBorder="1" applyAlignment="1">
      <alignment horizontal="center" vertical="center" wrapText="1"/>
    </xf>
    <xf numFmtId="165" fontId="50" fillId="14" borderId="0" xfId="32" applyNumberFormat="1" applyFont="1" applyFill="1" applyBorder="1" applyAlignment="1">
      <alignment horizontal="center" vertical="center" wrapText="1"/>
    </xf>
    <xf numFmtId="165" fontId="50" fillId="14" borderId="53" xfId="32" applyNumberFormat="1" applyFont="1" applyFill="1" applyBorder="1" applyAlignment="1">
      <alignment horizontal="center" vertical="center" wrapText="1"/>
    </xf>
    <xf numFmtId="165" fontId="50" fillId="14" borderId="54" xfId="32" applyNumberFormat="1" applyFont="1" applyFill="1" applyBorder="1" applyAlignment="1">
      <alignment horizontal="center" vertical="center" wrapText="1"/>
    </xf>
    <xf numFmtId="0" fontId="46" fillId="16" borderId="43" xfId="0" applyFont="1" applyFill="1" applyBorder="1" applyAlignment="1" applyProtection="1">
      <alignment horizontal="center"/>
      <protection locked="0"/>
    </xf>
    <xf numFmtId="0" fontId="46" fillId="16" borderId="46" xfId="0" applyFont="1" applyFill="1" applyBorder="1" applyAlignment="1" applyProtection="1">
      <alignment horizontal="center"/>
      <protection locked="0"/>
    </xf>
    <xf numFmtId="0" fontId="46" fillId="16" borderId="1" xfId="0" applyFont="1" applyFill="1" applyBorder="1" applyAlignment="1" applyProtection="1">
      <alignment horizontal="center"/>
      <protection locked="0"/>
    </xf>
    <xf numFmtId="0" fontId="46" fillId="16" borderId="48" xfId="0" applyFont="1" applyFill="1" applyBorder="1" applyAlignment="1" applyProtection="1">
      <alignment horizontal="center"/>
      <protection locked="0"/>
    </xf>
    <xf numFmtId="14" fontId="46" fillId="16" borderId="1" xfId="0" applyNumberFormat="1" applyFont="1" applyFill="1" applyBorder="1" applyAlignment="1" applyProtection="1">
      <alignment horizontal="center"/>
      <protection locked="0"/>
    </xf>
    <xf numFmtId="14" fontId="46" fillId="16" borderId="48" xfId="0" applyNumberFormat="1" applyFont="1" applyFill="1" applyBorder="1" applyAlignment="1" applyProtection="1">
      <alignment horizontal="center"/>
      <protection locked="0"/>
    </xf>
    <xf numFmtId="0" fontId="40" fillId="14" borderId="6" xfId="0" applyFont="1" applyFill="1" applyBorder="1" applyAlignment="1">
      <alignment horizontal="center" wrapText="1"/>
    </xf>
    <xf numFmtId="0" fontId="10" fillId="15" borderId="1" xfId="0" applyFont="1" applyFill="1" applyBorder="1" applyAlignment="1">
      <alignment horizontal="center"/>
    </xf>
    <xf numFmtId="0" fontId="43" fillId="10" borderId="3" xfId="47" applyFill="1" applyBorder="1" applyAlignment="1">
      <alignment horizontal="center" vertical="center"/>
    </xf>
    <xf numFmtId="0" fontId="43" fillId="10" borderId="42" xfId="47" applyFill="1" applyBorder="1" applyAlignment="1">
      <alignment horizontal="center" vertical="center"/>
    </xf>
    <xf numFmtId="0" fontId="0" fillId="10" borderId="1" xfId="0" applyFill="1" applyBorder="1" applyAlignment="1">
      <alignment horizontal="left" vertical="center" wrapText="1"/>
    </xf>
    <xf numFmtId="0" fontId="0" fillId="10" borderId="1" xfId="0" applyFill="1" applyBorder="1" applyAlignment="1">
      <alignment horizontal="center" vertical="center"/>
    </xf>
    <xf numFmtId="0" fontId="0" fillId="10" borderId="1" xfId="0" applyFill="1" applyBorder="1" applyAlignment="1">
      <alignment horizontal="left" vertical="center"/>
    </xf>
    <xf numFmtId="0" fontId="43" fillId="0" borderId="3" xfId="47" applyBorder="1" applyAlignment="1">
      <alignment horizontal="center" vertical="center" wrapText="1"/>
    </xf>
    <xf numFmtId="0" fontId="43" fillId="0" borderId="4" xfId="47" applyBorder="1" applyAlignment="1">
      <alignment horizontal="center" vertical="center" wrapText="1"/>
    </xf>
    <xf numFmtId="0" fontId="43" fillId="0" borderId="42" xfId="47" applyBorder="1" applyAlignment="1">
      <alignment horizontal="center" vertical="center" wrapText="1"/>
    </xf>
    <xf numFmtId="0" fontId="0" fillId="0" borderId="35"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left" vertical="center"/>
    </xf>
    <xf numFmtId="0" fontId="68" fillId="14" borderId="3" xfId="0" applyFont="1" applyFill="1" applyBorder="1" applyAlignment="1">
      <alignment horizontal="center" vertical="center"/>
    </xf>
    <xf numFmtId="0" fontId="68" fillId="14" borderId="4" xfId="0" applyFont="1" applyFill="1" applyBorder="1" applyAlignment="1">
      <alignment horizontal="center" vertical="center"/>
    </xf>
    <xf numFmtId="0" fontId="68" fillId="14" borderId="11" xfId="0" applyFont="1" applyFill="1" applyBorder="1" applyAlignment="1">
      <alignment horizontal="center" vertical="center"/>
    </xf>
    <xf numFmtId="0" fontId="16" fillId="15" borderId="41" xfId="0" applyFont="1" applyFill="1" applyBorder="1" applyAlignment="1">
      <alignment horizontal="center" wrapText="1"/>
    </xf>
    <xf numFmtId="0" fontId="16" fillId="15" borderId="40" xfId="0" applyFont="1" applyFill="1" applyBorder="1" applyAlignment="1">
      <alignment horizontal="center" wrapText="1"/>
    </xf>
    <xf numFmtId="0" fontId="10" fillId="15" borderId="30" xfId="0" applyFont="1" applyFill="1" applyBorder="1" applyAlignment="1">
      <alignment horizontal="center" vertical="center"/>
    </xf>
    <xf numFmtId="0" fontId="10" fillId="15" borderId="19" xfId="0" applyFont="1" applyFill="1" applyBorder="1" applyAlignment="1">
      <alignment horizontal="center" vertical="center"/>
    </xf>
    <xf numFmtId="0" fontId="10" fillId="15" borderId="31" xfId="0" applyFont="1" applyFill="1" applyBorder="1" applyAlignment="1">
      <alignment horizontal="center" vertical="center"/>
    </xf>
    <xf numFmtId="0" fontId="10" fillId="15" borderId="3" xfId="0" applyFont="1" applyFill="1" applyBorder="1" applyAlignment="1">
      <alignment horizontal="center"/>
    </xf>
    <xf numFmtId="0" fontId="10" fillId="15" borderId="4" xfId="0" applyFont="1" applyFill="1" applyBorder="1" applyAlignment="1">
      <alignment horizontal="center"/>
    </xf>
    <xf numFmtId="0" fontId="10" fillId="15" borderId="11" xfId="0" applyFont="1" applyFill="1" applyBorder="1" applyAlignment="1">
      <alignment horizontal="center"/>
    </xf>
    <xf numFmtId="0" fontId="10" fillId="15" borderId="7" xfId="0" applyFont="1" applyFill="1" applyBorder="1" applyAlignment="1">
      <alignment horizontal="center" vertical="center"/>
    </xf>
    <xf numFmtId="0" fontId="10" fillId="15" borderId="2" xfId="0" applyFont="1" applyFill="1" applyBorder="1" applyAlignment="1">
      <alignment horizontal="center" vertical="center"/>
    </xf>
    <xf numFmtId="0" fontId="56" fillId="14" borderId="26" xfId="0" applyFont="1" applyFill="1" applyBorder="1" applyAlignment="1">
      <alignment horizontal="center" vertical="center"/>
    </xf>
    <xf numFmtId="0" fontId="56" fillId="14" borderId="27" xfId="0" applyFont="1" applyFill="1" applyBorder="1" applyAlignment="1">
      <alignment horizontal="center" vertical="center"/>
    </xf>
    <xf numFmtId="0" fontId="0" fillId="10" borderId="35" xfId="0" applyFill="1" applyBorder="1" applyAlignment="1">
      <alignment horizontal="left" vertical="center" wrapText="1"/>
    </xf>
    <xf numFmtId="0" fontId="56" fillId="14" borderId="25" xfId="0" applyFont="1" applyFill="1" applyBorder="1" applyAlignment="1">
      <alignment horizontal="center" vertical="center"/>
    </xf>
    <xf numFmtId="0" fontId="56" fillId="14" borderId="28" xfId="0" applyFont="1" applyFill="1" applyBorder="1" applyAlignment="1">
      <alignment horizontal="center" vertical="center"/>
    </xf>
    <xf numFmtId="0" fontId="56" fillId="14" borderId="7" xfId="0" applyFont="1" applyFill="1" applyBorder="1" applyAlignment="1">
      <alignment horizontal="center" vertical="center"/>
    </xf>
    <xf numFmtId="0" fontId="53" fillId="14" borderId="3" xfId="0" applyFont="1" applyFill="1" applyBorder="1" applyAlignment="1">
      <alignment horizontal="center" vertical="center" wrapText="1"/>
    </xf>
    <xf numFmtId="0" fontId="53" fillId="14" borderId="17" xfId="0" applyFont="1" applyFill="1" applyBorder="1" applyAlignment="1">
      <alignment horizontal="center" vertical="center" wrapText="1"/>
    </xf>
    <xf numFmtId="0" fontId="65" fillId="14" borderId="18" xfId="0" applyFont="1" applyFill="1" applyBorder="1" applyAlignment="1">
      <alignment horizontal="center" wrapText="1"/>
    </xf>
    <xf numFmtId="0" fontId="65" fillId="14" borderId="19" xfId="0" applyFont="1" applyFill="1" applyBorder="1" applyAlignment="1">
      <alignment horizontal="center" wrapText="1"/>
    </xf>
    <xf numFmtId="0" fontId="65" fillId="14" borderId="61" xfId="0" applyFont="1" applyFill="1" applyBorder="1" applyAlignment="1">
      <alignment horizontal="center" wrapText="1"/>
    </xf>
    <xf numFmtId="0" fontId="4" fillId="16" borderId="3" xfId="0" applyFont="1" applyFill="1" applyBorder="1" applyAlignment="1" applyProtection="1">
      <alignment horizontal="center" vertical="center" wrapText="1"/>
      <protection locked="0"/>
    </xf>
    <xf numFmtId="0" fontId="4" fillId="16" borderId="11" xfId="0" applyFont="1" applyFill="1" applyBorder="1" applyAlignment="1" applyProtection="1">
      <alignment horizontal="center" vertical="center" wrapText="1"/>
      <protection locked="0"/>
    </xf>
    <xf numFmtId="0" fontId="49" fillId="0" borderId="16" xfId="0" applyFont="1" applyFill="1" applyBorder="1" applyAlignment="1">
      <alignment horizontal="right" wrapText="1"/>
    </xf>
    <xf numFmtId="0" fontId="49" fillId="0" borderId="4" xfId="0" applyFont="1" applyFill="1" applyBorder="1" applyAlignment="1">
      <alignment horizontal="right" wrapText="1"/>
    </xf>
    <xf numFmtId="0" fontId="49" fillId="0" borderId="11" xfId="0" applyFont="1" applyFill="1" applyBorder="1" applyAlignment="1">
      <alignment horizontal="right" wrapText="1"/>
    </xf>
    <xf numFmtId="0" fontId="49" fillId="0" borderId="20" xfId="0" applyFont="1" applyFill="1" applyBorder="1" applyAlignment="1">
      <alignment horizontal="right" wrapText="1"/>
    </xf>
    <xf numFmtId="0" fontId="49" fillId="0" borderId="21" xfId="0" applyFont="1" applyFill="1" applyBorder="1" applyAlignment="1">
      <alignment horizontal="right" wrapText="1"/>
    </xf>
    <xf numFmtId="0" fontId="49" fillId="0" borderId="23" xfId="0" applyFont="1" applyFill="1" applyBorder="1" applyAlignment="1">
      <alignment horizontal="right" wrapText="1"/>
    </xf>
    <xf numFmtId="0" fontId="53" fillId="14" borderId="5" xfId="0" applyFont="1" applyFill="1" applyBorder="1" applyAlignment="1">
      <alignment horizontal="center" vertical="center" wrapText="1"/>
    </xf>
    <xf numFmtId="0" fontId="53" fillId="14" borderId="64" xfId="0" applyFont="1" applyFill="1" applyBorder="1" applyAlignment="1">
      <alignment horizontal="center" vertical="center" wrapText="1"/>
    </xf>
    <xf numFmtId="0" fontId="49" fillId="0" borderId="16" xfId="0" applyFont="1" applyFill="1" applyBorder="1" applyAlignment="1">
      <alignment wrapText="1"/>
    </xf>
    <xf numFmtId="0" fontId="49" fillId="0" borderId="4" xfId="0" applyFont="1" applyFill="1" applyBorder="1" applyAlignment="1">
      <alignment wrapText="1"/>
    </xf>
    <xf numFmtId="0" fontId="49" fillId="0" borderId="11" xfId="0" applyFont="1" applyFill="1" applyBorder="1" applyAlignment="1">
      <alignment wrapText="1"/>
    </xf>
    <xf numFmtId="0" fontId="49" fillId="0" borderId="16" xfId="0" applyFont="1" applyFill="1" applyBorder="1" applyAlignment="1">
      <alignment horizontal="left" wrapText="1"/>
    </xf>
    <xf numFmtId="0" fontId="49" fillId="0" borderId="4" xfId="0" applyFont="1" applyFill="1" applyBorder="1" applyAlignment="1">
      <alignment horizontal="left" wrapText="1"/>
    </xf>
    <xf numFmtId="0" fontId="49" fillId="0" borderId="11" xfId="0" applyFont="1" applyFill="1" applyBorder="1" applyAlignment="1">
      <alignment horizontal="left" wrapText="1"/>
    </xf>
    <xf numFmtId="0" fontId="4" fillId="16" borderId="1" xfId="0" applyFont="1" applyFill="1" applyBorder="1" applyAlignment="1" applyProtection="1">
      <alignment horizontal="center" vertical="center" wrapText="1"/>
      <protection locked="0"/>
    </xf>
    <xf numFmtId="0" fontId="75" fillId="0" borderId="9" xfId="0" applyFont="1" applyBorder="1" applyAlignment="1">
      <alignment horizontal="center" vertical="center" wrapText="1"/>
    </xf>
    <xf numFmtId="0" fontId="75" fillId="0" borderId="55" xfId="0" applyFont="1" applyBorder="1" applyAlignment="1">
      <alignment horizontal="center" vertical="center" wrapText="1"/>
    </xf>
    <xf numFmtId="0" fontId="47" fillId="16" borderId="3" xfId="0" applyFont="1" applyFill="1" applyBorder="1" applyAlignment="1" applyProtection="1">
      <alignment horizontal="center" vertical="center" wrapText="1"/>
      <protection locked="0"/>
    </xf>
    <xf numFmtId="0" fontId="47" fillId="16" borderId="11" xfId="0" applyFont="1" applyFill="1" applyBorder="1" applyAlignment="1" applyProtection="1">
      <alignment horizontal="center" vertical="center" wrapText="1"/>
      <protection locked="0"/>
    </xf>
    <xf numFmtId="0" fontId="53" fillId="14" borderId="14" xfId="0" applyFont="1" applyFill="1" applyBorder="1" applyAlignment="1">
      <alignment horizontal="center" vertical="center" wrapText="1"/>
    </xf>
    <xf numFmtId="0" fontId="53" fillId="14" borderId="8" xfId="0" applyFont="1" applyFill="1" applyBorder="1" applyAlignment="1">
      <alignment horizontal="center" vertical="center" wrapText="1"/>
    </xf>
    <xf numFmtId="0" fontId="77" fillId="0" borderId="9" xfId="0" applyFont="1" applyBorder="1" applyAlignment="1">
      <alignment horizontal="left" indent="1"/>
    </xf>
    <xf numFmtId="0" fontId="77" fillId="0" borderId="0" xfId="0" applyFont="1" applyBorder="1" applyAlignment="1">
      <alignment horizontal="left" indent="1"/>
    </xf>
    <xf numFmtId="0" fontId="77" fillId="0" borderId="52" xfId="0" applyFont="1" applyBorder="1" applyAlignment="1">
      <alignment horizontal="left" indent="1"/>
    </xf>
    <xf numFmtId="0" fontId="76" fillId="0" borderId="9" xfId="0" applyFont="1" applyBorder="1" applyAlignment="1">
      <alignment horizontal="left" indent="1"/>
    </xf>
    <xf numFmtId="0" fontId="76" fillId="0" borderId="0" xfId="0" applyFont="1" applyBorder="1" applyAlignment="1">
      <alignment horizontal="left" indent="1"/>
    </xf>
    <xf numFmtId="0" fontId="76" fillId="0" borderId="52" xfId="0" applyFont="1" applyBorder="1" applyAlignment="1">
      <alignment horizontal="left" indent="1"/>
    </xf>
    <xf numFmtId="0" fontId="76" fillId="0" borderId="55" xfId="0" applyFont="1" applyBorder="1" applyAlignment="1">
      <alignment horizontal="left" indent="1"/>
    </xf>
    <xf numFmtId="0" fontId="76" fillId="0" borderId="54" xfId="0" applyFont="1" applyBorder="1" applyAlignment="1">
      <alignment horizontal="left" indent="1"/>
    </xf>
    <xf numFmtId="0" fontId="76" fillId="0" borderId="56" xfId="0" applyFont="1" applyBorder="1" applyAlignment="1">
      <alignment horizontal="left" indent="1"/>
    </xf>
    <xf numFmtId="0" fontId="57" fillId="0" borderId="0" xfId="0" applyFont="1" applyBorder="1" applyAlignment="1">
      <alignment horizontal="center"/>
    </xf>
    <xf numFmtId="0" fontId="57" fillId="0" borderId="52" xfId="0" applyFont="1" applyBorder="1" applyAlignment="1">
      <alignment horizontal="center"/>
    </xf>
    <xf numFmtId="0" fontId="49" fillId="13" borderId="16" xfId="0" applyFont="1" applyFill="1" applyBorder="1" applyAlignment="1">
      <alignment horizontal="left" vertical="center" wrapText="1"/>
    </xf>
    <xf numFmtId="0" fontId="49" fillId="13" borderId="4" xfId="0" applyFont="1" applyFill="1" applyBorder="1" applyAlignment="1">
      <alignment horizontal="left" vertical="center" wrapText="1"/>
    </xf>
    <xf numFmtId="0" fontId="49" fillId="13" borderId="11" xfId="0" applyFont="1" applyFill="1" applyBorder="1" applyAlignment="1">
      <alignment horizontal="left" vertical="center" wrapText="1"/>
    </xf>
    <xf numFmtId="0" fontId="58" fillId="13" borderId="16" xfId="0" applyFont="1" applyFill="1" applyBorder="1" applyAlignment="1">
      <alignment horizontal="left" vertical="center" wrapText="1"/>
    </xf>
    <xf numFmtId="0" fontId="58" fillId="13" borderId="4" xfId="0" applyFont="1" applyFill="1" applyBorder="1" applyAlignment="1">
      <alignment horizontal="left" vertical="center" wrapText="1"/>
    </xf>
    <xf numFmtId="0" fontId="58" fillId="13" borderId="11" xfId="0" applyFont="1" applyFill="1" applyBorder="1" applyAlignment="1">
      <alignment horizontal="left" vertical="center" wrapText="1"/>
    </xf>
    <xf numFmtId="0" fontId="58" fillId="0" borderId="16" xfId="0" applyFont="1" applyFill="1" applyBorder="1" applyAlignment="1">
      <alignment horizontal="left" vertical="center" wrapText="1"/>
    </xf>
    <xf numFmtId="0" fontId="58" fillId="0" borderId="4" xfId="0" applyFont="1" applyFill="1" applyBorder="1" applyAlignment="1">
      <alignment horizontal="left" vertical="center" wrapText="1"/>
    </xf>
    <xf numFmtId="0" fontId="58" fillId="0" borderId="11" xfId="0" applyFont="1" applyFill="1" applyBorder="1" applyAlignment="1">
      <alignment horizontal="left" vertical="center" wrapText="1"/>
    </xf>
    <xf numFmtId="0" fontId="58" fillId="0" borderId="20" xfId="0" applyFont="1" applyFill="1" applyBorder="1" applyAlignment="1">
      <alignment horizontal="left" vertical="center" wrapText="1"/>
    </xf>
    <xf numFmtId="0" fontId="58" fillId="0" borderId="21" xfId="0" applyFont="1" applyFill="1" applyBorder="1" applyAlignment="1">
      <alignment horizontal="left" vertical="center" wrapText="1"/>
    </xf>
    <xf numFmtId="0" fontId="58" fillId="0" borderId="23" xfId="0" applyFont="1" applyFill="1" applyBorder="1" applyAlignment="1">
      <alignment horizontal="left" vertical="center" wrapText="1"/>
    </xf>
    <xf numFmtId="0" fontId="49" fillId="0" borderId="16" xfId="0" applyFont="1" applyFill="1" applyBorder="1" applyAlignment="1">
      <alignment horizontal="left" vertical="center" wrapText="1"/>
    </xf>
    <xf numFmtId="0" fontId="49" fillId="0" borderId="4" xfId="0" applyFont="1" applyFill="1" applyBorder="1" applyAlignment="1">
      <alignment horizontal="left" vertical="center" wrapText="1"/>
    </xf>
    <xf numFmtId="0" fontId="49" fillId="0" borderId="11" xfId="0" applyFont="1" applyFill="1" applyBorder="1" applyAlignment="1">
      <alignment horizontal="left" vertical="center" wrapText="1"/>
    </xf>
    <xf numFmtId="0" fontId="64" fillId="15" borderId="51" xfId="0" applyFont="1" applyFill="1" applyBorder="1" applyAlignment="1">
      <alignment horizontal="center" wrapText="1"/>
    </xf>
    <xf numFmtId="0" fontId="64" fillId="15" borderId="0" xfId="0" applyFont="1" applyFill="1" applyBorder="1" applyAlignment="1">
      <alignment horizontal="center" wrapText="1"/>
    </xf>
    <xf numFmtId="0" fontId="64" fillId="15" borderId="52" xfId="0" applyFont="1" applyFill="1" applyBorder="1" applyAlignment="1">
      <alignment horizontal="center" wrapText="1"/>
    </xf>
    <xf numFmtId="0" fontId="78" fillId="0" borderId="9" xfId="0" applyFont="1" applyBorder="1" applyAlignment="1">
      <alignment horizontal="left" indent="1"/>
    </xf>
    <xf numFmtId="0" fontId="78" fillId="0" borderId="0" xfId="0" applyFont="1" applyBorder="1" applyAlignment="1">
      <alignment horizontal="left" indent="1"/>
    </xf>
    <xf numFmtId="0" fontId="78" fillId="0" borderId="52" xfId="0" applyFont="1" applyBorder="1" applyAlignment="1">
      <alignment horizontal="left" indent="1"/>
    </xf>
    <xf numFmtId="0" fontId="58" fillId="0" borderId="16" xfId="0" applyFont="1" applyBorder="1" applyAlignment="1">
      <alignment horizontal="left" vertical="center"/>
    </xf>
    <xf numFmtId="0" fontId="58" fillId="0" borderId="4" xfId="0" applyFont="1" applyBorder="1" applyAlignment="1">
      <alignment horizontal="left" vertical="center"/>
    </xf>
    <xf numFmtId="0" fontId="58" fillId="0" borderId="11" xfId="0" applyFont="1" applyBorder="1" applyAlignment="1">
      <alignment horizontal="left" vertical="center"/>
    </xf>
    <xf numFmtId="0" fontId="46" fillId="0" borderId="0" xfId="0" applyFont="1" applyBorder="1" applyAlignment="1">
      <alignment horizontal="center" vertical="center" wrapText="1"/>
    </xf>
    <xf numFmtId="0" fontId="46" fillId="0" borderId="52" xfId="0" applyFont="1" applyBorder="1" applyAlignment="1">
      <alignment horizontal="center" vertical="center" wrapText="1"/>
    </xf>
    <xf numFmtId="0" fontId="46" fillId="0" borderId="54" xfId="0" applyFont="1" applyBorder="1" applyAlignment="1">
      <alignment horizontal="center" vertical="center" wrapText="1"/>
    </xf>
    <xf numFmtId="0" fontId="46" fillId="0" borderId="56" xfId="0" applyFont="1" applyBorder="1" applyAlignment="1">
      <alignment horizontal="center" vertical="center" wrapText="1"/>
    </xf>
    <xf numFmtId="0" fontId="54" fillId="0" borderId="68" xfId="0" applyFont="1" applyFill="1" applyBorder="1" applyAlignment="1">
      <alignment horizontal="center" vertical="center" wrapText="1"/>
    </xf>
    <xf numFmtId="0" fontId="54" fillId="0" borderId="69" xfId="0" applyFont="1" applyFill="1" applyBorder="1" applyAlignment="1">
      <alignment horizontal="center" vertical="center" wrapText="1"/>
    </xf>
    <xf numFmtId="0" fontId="54" fillId="0" borderId="70" xfId="0" applyFont="1" applyFill="1" applyBorder="1" applyAlignment="1">
      <alignment horizontal="center" vertical="center" wrapText="1"/>
    </xf>
    <xf numFmtId="0" fontId="62" fillId="0" borderId="0" xfId="0" applyFont="1" applyFill="1" applyBorder="1" applyAlignment="1">
      <alignment horizontal="center" vertical="center" wrapText="1"/>
    </xf>
    <xf numFmtId="0" fontId="62" fillId="0" borderId="9" xfId="0" applyFont="1" applyFill="1" applyBorder="1" applyAlignment="1">
      <alignment horizontal="center" vertical="center" wrapText="1"/>
    </xf>
    <xf numFmtId="0" fontId="53" fillId="14" borderId="2" xfId="0" applyFont="1" applyFill="1" applyBorder="1" applyAlignment="1">
      <alignment horizontal="center" vertical="center" wrapText="1"/>
    </xf>
    <xf numFmtId="0" fontId="53" fillId="14" borderId="15" xfId="0" applyFont="1" applyFill="1" applyBorder="1" applyAlignment="1">
      <alignment horizontal="center" vertical="center" wrapText="1"/>
    </xf>
    <xf numFmtId="0" fontId="53" fillId="14" borderId="11" xfId="0" applyFont="1" applyFill="1" applyBorder="1" applyAlignment="1">
      <alignment horizontal="center" vertical="center" wrapText="1"/>
    </xf>
    <xf numFmtId="0" fontId="26" fillId="8" borderId="3" xfId="0" applyFont="1" applyFill="1" applyBorder="1" applyAlignment="1">
      <alignment horizontal="center"/>
    </xf>
    <xf numFmtId="0" fontId="26" fillId="8" borderId="11" xfId="0" applyFont="1" applyFill="1" applyBorder="1" applyAlignment="1">
      <alignment horizontal="center"/>
    </xf>
    <xf numFmtId="0" fontId="42" fillId="4" borderId="3" xfId="0" applyFont="1" applyFill="1" applyBorder="1" applyAlignment="1">
      <alignment horizontal="center"/>
    </xf>
    <xf numFmtId="0" fontId="42" fillId="4" borderId="11" xfId="0" applyFont="1" applyFill="1" applyBorder="1" applyAlignment="1">
      <alignment horizontal="center"/>
    </xf>
    <xf numFmtId="0" fontId="24" fillId="8" borderId="3" xfId="0" applyFont="1" applyFill="1" applyBorder="1" applyAlignment="1" applyProtection="1">
      <alignment horizontal="center" vertical="center"/>
      <protection locked="0"/>
    </xf>
    <xf numFmtId="0" fontId="26" fillId="8" borderId="11" xfId="0" applyFont="1" applyFill="1" applyBorder="1" applyAlignment="1" applyProtection="1">
      <alignment horizontal="center" vertical="center"/>
      <protection locked="0"/>
    </xf>
    <xf numFmtId="0" fontId="11" fillId="0" borderId="3" xfId="0" applyFont="1" applyFill="1" applyBorder="1" applyAlignment="1">
      <alignment horizontal="center"/>
    </xf>
    <xf numFmtId="0" fontId="11" fillId="0" borderId="4" xfId="0" applyFont="1" applyFill="1" applyBorder="1" applyAlignment="1">
      <alignment horizontal="center"/>
    </xf>
    <xf numFmtId="0" fontId="11" fillId="0" borderId="11" xfId="0" applyFont="1" applyFill="1" applyBorder="1" applyAlignment="1">
      <alignment horizontal="center"/>
    </xf>
    <xf numFmtId="0" fontId="28" fillId="4" borderId="3" xfId="0" applyFont="1" applyFill="1" applyBorder="1" applyAlignment="1">
      <alignment horizontal="center"/>
    </xf>
    <xf numFmtId="0" fontId="28" fillId="4" borderId="11" xfId="0" applyFont="1" applyFill="1" applyBorder="1" applyAlignment="1">
      <alignment horizontal="center"/>
    </xf>
    <xf numFmtId="3" fontId="26" fillId="9" borderId="3" xfId="0" applyNumberFormat="1" applyFont="1" applyFill="1" applyBorder="1" applyAlignment="1">
      <alignment horizontal="center"/>
    </xf>
    <xf numFmtId="0" fontId="26" fillId="9" borderId="11" xfId="0" applyFont="1" applyFill="1" applyBorder="1" applyAlignment="1">
      <alignment horizontal="center"/>
    </xf>
    <xf numFmtId="0" fontId="26" fillId="4" borderId="3" xfId="0" applyFont="1" applyFill="1" applyBorder="1" applyAlignment="1">
      <alignment horizontal="center"/>
    </xf>
    <xf numFmtId="0" fontId="26" fillId="4" borderId="11" xfId="0" applyFont="1" applyFill="1" applyBorder="1" applyAlignment="1">
      <alignment horizontal="center"/>
    </xf>
    <xf numFmtId="0" fontId="9" fillId="4" borderId="3" xfId="0" applyFont="1" applyFill="1" applyBorder="1" applyAlignment="1">
      <alignment horizontal="center"/>
    </xf>
    <xf numFmtId="0" fontId="9" fillId="4" borderId="11" xfId="0" applyFont="1" applyFill="1" applyBorder="1" applyAlignment="1">
      <alignment horizontal="center"/>
    </xf>
    <xf numFmtId="3" fontId="26" fillId="8" borderId="3" xfId="0" applyNumberFormat="1" applyFont="1" applyFill="1" applyBorder="1" applyAlignment="1">
      <alignment horizontal="center"/>
    </xf>
    <xf numFmtId="3" fontId="26" fillId="8" borderId="11" xfId="0" applyNumberFormat="1" applyFont="1" applyFill="1" applyBorder="1" applyAlignment="1">
      <alignment horizontal="center"/>
    </xf>
    <xf numFmtId="0" fontId="11" fillId="15" borderId="12" xfId="0" applyFont="1" applyFill="1" applyBorder="1" applyAlignment="1">
      <alignment horizontal="center" vertical="center" wrapText="1"/>
    </xf>
    <xf numFmtId="0" fontId="11" fillId="15" borderId="13" xfId="0" applyFont="1" applyFill="1" applyBorder="1" applyAlignment="1">
      <alignment horizontal="center" vertical="center" wrapText="1"/>
    </xf>
    <xf numFmtId="0" fontId="11" fillId="15" borderId="5" xfId="0" applyFont="1" applyFill="1" applyBorder="1" applyAlignment="1">
      <alignment horizontal="center" vertical="center" wrapText="1"/>
    </xf>
    <xf numFmtId="0" fontId="11" fillId="15" borderId="15" xfId="0" applyFont="1" applyFill="1" applyBorder="1" applyAlignment="1">
      <alignment horizontal="center" vertical="center" wrapText="1"/>
    </xf>
    <xf numFmtId="0" fontId="28" fillId="4" borderId="5" xfId="0" applyFont="1" applyFill="1" applyBorder="1" applyAlignment="1">
      <alignment horizontal="center"/>
    </xf>
    <xf numFmtId="0" fontId="28" fillId="4" borderId="15" xfId="0" applyFont="1" applyFill="1" applyBorder="1" applyAlignment="1">
      <alignment horizontal="center"/>
    </xf>
    <xf numFmtId="0" fontId="9" fillId="4" borderId="5" xfId="0" applyFont="1" applyFill="1" applyBorder="1" applyAlignment="1">
      <alignment horizontal="center"/>
    </xf>
    <xf numFmtId="0" fontId="9" fillId="4" borderId="15" xfId="0" applyFont="1" applyFill="1" applyBorder="1" applyAlignment="1">
      <alignment horizontal="center"/>
    </xf>
    <xf numFmtId="0" fontId="29" fillId="8" borderId="6" xfId="0" applyFont="1" applyFill="1" applyBorder="1" applyAlignment="1">
      <alignment horizontal="center" vertical="center" wrapText="1"/>
    </xf>
    <xf numFmtId="0" fontId="29" fillId="8" borderId="15" xfId="0" applyFont="1" applyFill="1" applyBorder="1" applyAlignment="1">
      <alignment horizontal="center" vertical="center" wrapText="1"/>
    </xf>
    <xf numFmtId="0" fontId="26" fillId="8" borderId="5" xfId="0" applyFont="1" applyFill="1" applyBorder="1" applyAlignment="1">
      <alignment horizontal="center"/>
    </xf>
    <xf numFmtId="0" fontId="26" fillId="8" borderId="15" xfId="0" applyFont="1" applyFill="1" applyBorder="1" applyAlignment="1">
      <alignment horizontal="center"/>
    </xf>
    <xf numFmtId="1" fontId="23" fillId="4" borderId="12" xfId="0" applyNumberFormat="1" applyFont="1" applyFill="1" applyBorder="1" applyAlignment="1" applyProtection="1">
      <alignment horizontal="center"/>
    </xf>
    <xf numFmtId="1" fontId="23" fillId="4" borderId="13" xfId="0" applyNumberFormat="1" applyFont="1" applyFill="1" applyBorder="1" applyAlignment="1" applyProtection="1">
      <alignment horizontal="center"/>
    </xf>
    <xf numFmtId="1" fontId="23" fillId="4" borderId="9" xfId="0" applyNumberFormat="1" applyFont="1" applyFill="1" applyBorder="1" applyAlignment="1" applyProtection="1">
      <alignment horizontal="center"/>
    </xf>
    <xf numFmtId="1" fontId="23" fillId="4" borderId="14" xfId="0" applyNumberFormat="1" applyFont="1" applyFill="1" applyBorder="1" applyAlignment="1" applyProtection="1">
      <alignment horizontal="center"/>
    </xf>
    <xf numFmtId="1" fontId="23" fillId="4" borderId="0" xfId="0" applyNumberFormat="1" applyFont="1" applyFill="1" applyBorder="1" applyAlignment="1" applyProtection="1">
      <alignment horizontal="center"/>
    </xf>
    <xf numFmtId="1" fontId="23" fillId="4" borderId="5" xfId="0" applyNumberFormat="1" applyFont="1" applyFill="1" applyBorder="1" applyAlignment="1">
      <alignment horizontal="center"/>
    </xf>
    <xf numFmtId="1" fontId="23" fillId="4" borderId="6" xfId="0" applyNumberFormat="1" applyFont="1" applyFill="1" applyBorder="1" applyAlignment="1">
      <alignment horizontal="center"/>
    </xf>
    <xf numFmtId="1" fontId="23" fillId="4" borderId="5" xfId="0" applyNumberFormat="1" applyFont="1" applyFill="1" applyBorder="1" applyAlignment="1" applyProtection="1">
      <alignment horizontal="center"/>
    </xf>
    <xf numFmtId="1" fontId="23" fillId="4" borderId="6" xfId="0" applyNumberFormat="1" applyFont="1" applyFill="1" applyBorder="1" applyAlignment="1" applyProtection="1">
      <alignment horizontal="center"/>
    </xf>
    <xf numFmtId="1" fontId="23" fillId="4" borderId="12" xfId="0" applyNumberFormat="1" applyFont="1" applyFill="1" applyBorder="1" applyAlignment="1">
      <alignment horizontal="center"/>
    </xf>
    <xf numFmtId="1" fontId="23" fillId="4" borderId="13" xfId="0" applyNumberFormat="1" applyFont="1" applyFill="1" applyBorder="1" applyAlignment="1">
      <alignment horizontal="center"/>
    </xf>
    <xf numFmtId="1" fontId="80" fillId="11" borderId="9" xfId="0" applyNumberFormat="1" applyFont="1" applyFill="1" applyBorder="1" applyAlignment="1" applyProtection="1">
      <alignment horizontal="center" vertical="center" wrapText="1"/>
      <protection locked="0"/>
    </xf>
    <xf numFmtId="1" fontId="80" fillId="11" borderId="14" xfId="0" applyNumberFormat="1" applyFont="1" applyFill="1" applyBorder="1" applyAlignment="1" applyProtection="1">
      <alignment horizontal="center" vertical="center" wrapText="1"/>
      <protection locked="0"/>
    </xf>
    <xf numFmtId="0" fontId="26" fillId="4" borderId="12" xfId="0" applyFont="1" applyFill="1" applyBorder="1" applyAlignment="1">
      <alignment horizontal="center" vertical="center" wrapText="1"/>
    </xf>
    <xf numFmtId="0" fontId="26" fillId="4" borderId="13" xfId="0" applyFont="1" applyFill="1" applyBorder="1" applyAlignment="1">
      <alignment horizontal="center" vertical="center" wrapText="1"/>
    </xf>
    <xf numFmtId="0" fontId="26" fillId="4" borderId="9" xfId="0" applyFont="1" applyFill="1" applyBorder="1" applyAlignment="1">
      <alignment horizontal="center" vertical="center" wrapText="1"/>
    </xf>
    <xf numFmtId="0" fontId="26" fillId="4" borderId="14" xfId="0" applyFont="1" applyFill="1" applyBorder="1" applyAlignment="1">
      <alignment horizontal="center" vertical="center" wrapText="1"/>
    </xf>
    <xf numFmtId="0" fontId="26" fillId="4" borderId="5" xfId="0" applyFont="1" applyFill="1" applyBorder="1" applyAlignment="1">
      <alignment horizontal="center" vertical="center" wrapText="1"/>
    </xf>
    <xf numFmtId="0" fontId="26" fillId="4" borderId="15" xfId="0" applyFont="1" applyFill="1" applyBorder="1" applyAlignment="1">
      <alignment horizontal="center" vertical="center" wrapText="1"/>
    </xf>
    <xf numFmtId="0" fontId="26" fillId="4" borderId="10" xfId="0" applyFont="1" applyFill="1" applyBorder="1" applyAlignment="1">
      <alignment horizontal="center" vertical="center" wrapText="1"/>
    </xf>
    <xf numFmtId="0" fontId="26" fillId="4" borderId="0" xfId="0" applyFont="1" applyFill="1" applyBorder="1" applyAlignment="1">
      <alignment horizontal="center" vertical="center" wrapText="1"/>
    </xf>
    <xf numFmtId="0" fontId="26" fillId="4" borderId="6" xfId="0" applyFont="1" applyFill="1" applyBorder="1" applyAlignment="1">
      <alignment horizontal="center" vertical="center" wrapText="1"/>
    </xf>
    <xf numFmtId="0" fontId="24" fillId="17" borderId="3" xfId="0" applyFont="1" applyFill="1" applyBorder="1" applyAlignment="1" applyProtection="1">
      <alignment horizontal="center" vertical="center"/>
      <protection locked="0"/>
    </xf>
    <xf numFmtId="0" fontId="24" fillId="17" borderId="3" xfId="0" applyFont="1" applyFill="1" applyBorder="1" applyAlignment="1" applyProtection="1">
      <alignment horizontal="center" vertical="center" wrapText="1"/>
      <protection locked="0"/>
    </xf>
    <xf numFmtId="0" fontId="26" fillId="8" borderId="11" xfId="0" applyFont="1" applyFill="1" applyBorder="1" applyAlignment="1" applyProtection="1">
      <alignment horizontal="center" vertical="center" wrapText="1"/>
      <protection locked="0"/>
    </xf>
    <xf numFmtId="0" fontId="30" fillId="11" borderId="3" xfId="0" applyFont="1" applyFill="1" applyBorder="1" applyAlignment="1" applyProtection="1">
      <alignment horizontal="center" vertical="center"/>
      <protection locked="0"/>
    </xf>
    <xf numFmtId="0" fontId="0" fillId="17" borderId="3" xfId="0" applyFont="1" applyFill="1" applyBorder="1" applyAlignment="1" applyProtection="1">
      <alignment horizontal="center"/>
      <protection locked="0"/>
    </xf>
    <xf numFmtId="0" fontId="0" fillId="17" borderId="11" xfId="0" applyFont="1" applyFill="1" applyBorder="1" applyAlignment="1" applyProtection="1">
      <alignment horizontal="center"/>
      <protection locked="0"/>
    </xf>
    <xf numFmtId="0" fontId="28" fillId="4" borderId="3" xfId="0" applyFont="1" applyFill="1" applyBorder="1" applyAlignment="1">
      <alignment horizontal="center" vertical="center"/>
    </xf>
    <xf numFmtId="0" fontId="28" fillId="4" borderId="11" xfId="0" applyFont="1" applyFill="1" applyBorder="1" applyAlignment="1">
      <alignment horizontal="center" vertical="center"/>
    </xf>
    <xf numFmtId="1" fontId="23" fillId="4" borderId="9" xfId="0" applyNumberFormat="1" applyFont="1" applyFill="1" applyBorder="1" applyAlignment="1">
      <alignment horizontal="center"/>
    </xf>
    <xf numFmtId="1" fontId="23" fillId="4" borderId="0" xfId="0" applyNumberFormat="1" applyFont="1" applyFill="1" applyBorder="1" applyAlignment="1">
      <alignment horizontal="center"/>
    </xf>
    <xf numFmtId="1" fontId="23" fillId="4" borderId="14" xfId="0" applyNumberFormat="1" applyFont="1" applyFill="1" applyBorder="1" applyAlignment="1">
      <alignment horizontal="center"/>
    </xf>
    <xf numFmtId="0" fontId="11" fillId="7" borderId="12" xfId="0" applyFont="1" applyFill="1" applyBorder="1" applyAlignment="1">
      <alignment horizontal="center" vertical="center" wrapText="1"/>
    </xf>
    <xf numFmtId="0" fontId="11" fillId="7" borderId="13" xfId="0" applyFont="1" applyFill="1" applyBorder="1" applyAlignment="1">
      <alignment horizontal="center" vertical="center" wrapText="1"/>
    </xf>
    <xf numFmtId="0" fontId="11" fillId="7" borderId="5" xfId="0" applyFont="1" applyFill="1" applyBorder="1" applyAlignment="1">
      <alignment horizontal="center" vertical="center" wrapText="1"/>
    </xf>
    <xf numFmtId="0" fontId="11" fillId="7" borderId="15" xfId="0" applyFont="1" applyFill="1" applyBorder="1" applyAlignment="1">
      <alignment horizontal="center" vertical="center" wrapText="1"/>
    </xf>
    <xf numFmtId="0" fontId="0" fillId="16" borderId="12" xfId="0" applyFont="1" applyFill="1" applyBorder="1" applyAlignment="1" applyProtection="1">
      <alignment horizontal="center" vertical="center"/>
      <protection locked="0"/>
    </xf>
    <xf numFmtId="0" fontId="0" fillId="16" borderId="13" xfId="0" applyFont="1" applyFill="1" applyBorder="1" applyAlignment="1" applyProtection="1">
      <alignment horizontal="center" vertical="center"/>
      <protection locked="0"/>
    </xf>
    <xf numFmtId="0" fontId="0" fillId="16" borderId="10" xfId="0" applyFont="1" applyFill="1" applyBorder="1" applyAlignment="1" applyProtection="1">
      <alignment horizontal="center" vertical="center"/>
      <protection locked="0"/>
    </xf>
    <xf numFmtId="0" fontId="12" fillId="16" borderId="3" xfId="0" applyFont="1" applyFill="1" applyBorder="1" applyAlignment="1" applyProtection="1">
      <alignment horizontal="center" vertical="center" wrapText="1"/>
      <protection locked="0"/>
    </xf>
    <xf numFmtId="0" fontId="18" fillId="6" borderId="11" xfId="0" applyFont="1" applyFill="1" applyBorder="1" applyAlignment="1" applyProtection="1">
      <alignment horizontal="center" vertical="center" wrapText="1"/>
      <protection locked="0"/>
    </xf>
    <xf numFmtId="1" fontId="21" fillId="2" borderId="12" xfId="0" applyNumberFormat="1" applyFont="1" applyFill="1" applyBorder="1" applyAlignment="1" applyProtection="1">
      <alignment horizontal="center" vertical="center" wrapText="1"/>
      <protection locked="0"/>
    </xf>
    <xf numFmtId="1" fontId="21" fillId="2" borderId="13" xfId="0" applyNumberFormat="1" applyFont="1" applyFill="1" applyBorder="1" applyAlignment="1" applyProtection="1">
      <alignment horizontal="center" vertical="center" wrapText="1"/>
      <protection locked="0"/>
    </xf>
    <xf numFmtId="1" fontId="21" fillId="2" borderId="9" xfId="0" applyNumberFormat="1" applyFont="1" applyFill="1" applyBorder="1" applyAlignment="1" applyProtection="1">
      <alignment horizontal="center" vertical="center" wrapText="1"/>
      <protection locked="0"/>
    </xf>
    <xf numFmtId="1" fontId="21" fillId="2" borderId="14" xfId="0" applyNumberFormat="1" applyFont="1" applyFill="1" applyBorder="1" applyAlignment="1" applyProtection="1">
      <alignment horizontal="center" vertical="center" wrapText="1"/>
      <protection locked="0"/>
    </xf>
    <xf numFmtId="1" fontId="80" fillId="11" borderId="5" xfId="0" applyNumberFormat="1" applyFont="1" applyFill="1" applyBorder="1" applyAlignment="1" applyProtection="1">
      <alignment horizontal="center" vertical="center" wrapText="1"/>
      <protection locked="0"/>
    </xf>
    <xf numFmtId="1" fontId="80" fillId="11" borderId="15" xfId="0" applyNumberFormat="1" applyFont="1" applyFill="1" applyBorder="1" applyAlignment="1" applyProtection="1">
      <alignment horizontal="center" vertical="center" wrapText="1"/>
      <protection locked="0"/>
    </xf>
    <xf numFmtId="0" fontId="12" fillId="16" borderId="12" xfId="0" applyFont="1" applyFill="1" applyBorder="1" applyAlignment="1" applyProtection="1">
      <alignment horizontal="center" vertical="center" wrapText="1"/>
      <protection locked="0"/>
    </xf>
    <xf numFmtId="0" fontId="18" fillId="6" borderId="13" xfId="0" applyFont="1" applyFill="1" applyBorder="1" applyAlignment="1" applyProtection="1">
      <alignment horizontal="center" vertical="center" wrapText="1"/>
      <protection locked="0"/>
    </xf>
    <xf numFmtId="0" fontId="0" fillId="16" borderId="3" xfId="0" applyFont="1" applyFill="1" applyBorder="1" applyAlignment="1" applyProtection="1">
      <alignment horizontal="center" vertical="center"/>
      <protection locked="0"/>
    </xf>
    <xf numFmtId="0" fontId="0" fillId="16" borderId="11" xfId="0" applyFont="1" applyFill="1" applyBorder="1" applyAlignment="1" applyProtection="1">
      <alignment horizontal="center" vertical="center"/>
      <protection locked="0"/>
    </xf>
    <xf numFmtId="0" fontId="0" fillId="16" borderId="4" xfId="0" applyFont="1" applyFill="1" applyBorder="1" applyAlignment="1" applyProtection="1">
      <alignment horizontal="center" vertical="center"/>
      <protection locked="0"/>
    </xf>
    <xf numFmtId="0" fontId="0" fillId="4" borderId="3" xfId="0" applyFill="1" applyBorder="1"/>
    <xf numFmtId="0" fontId="0" fillId="4" borderId="11" xfId="0" applyFill="1" applyBorder="1"/>
    <xf numFmtId="1" fontId="21" fillId="2" borderId="5" xfId="0" applyNumberFormat="1" applyFont="1" applyFill="1" applyBorder="1" applyAlignment="1" applyProtection="1">
      <alignment horizontal="center" vertical="center" wrapText="1"/>
      <protection locked="0"/>
    </xf>
    <xf numFmtId="1" fontId="21" fillId="2" borderId="15" xfId="0" applyNumberFormat="1" applyFont="1" applyFill="1" applyBorder="1" applyAlignment="1" applyProtection="1">
      <alignment horizontal="center" vertical="center" wrapText="1"/>
      <protection locked="0"/>
    </xf>
    <xf numFmtId="0" fontId="0" fillId="16" borderId="12" xfId="0" applyFont="1" applyFill="1" applyBorder="1" applyAlignment="1" applyProtection="1">
      <alignment horizontal="center" vertical="center" wrapText="1"/>
    </xf>
    <xf numFmtId="0" fontId="0" fillId="16" borderId="13" xfId="0" applyFont="1" applyFill="1" applyBorder="1" applyAlignment="1" applyProtection="1">
      <alignment horizontal="center" vertical="center" wrapText="1"/>
    </xf>
    <xf numFmtId="0" fontId="0" fillId="16" borderId="9" xfId="0" applyFont="1" applyFill="1" applyBorder="1" applyAlignment="1" applyProtection="1">
      <alignment horizontal="center" vertical="center" wrapText="1"/>
    </xf>
    <xf numFmtId="0" fontId="0" fillId="16" borderId="14" xfId="0" applyFont="1" applyFill="1" applyBorder="1" applyAlignment="1" applyProtection="1">
      <alignment horizontal="center" vertical="center" wrapText="1"/>
    </xf>
    <xf numFmtId="0" fontId="0" fillId="16" borderId="5" xfId="0" applyFont="1" applyFill="1" applyBorder="1" applyAlignment="1" applyProtection="1">
      <alignment horizontal="center" vertical="center" wrapText="1"/>
    </xf>
    <xf numFmtId="0" fontId="0" fillId="16" borderId="15" xfId="0" applyFont="1" applyFill="1" applyBorder="1" applyAlignment="1" applyProtection="1">
      <alignment horizontal="center" vertical="center" wrapText="1"/>
    </xf>
    <xf numFmtId="0" fontId="30" fillId="11" borderId="3" xfId="0" applyFont="1" applyFill="1" applyBorder="1" applyAlignment="1" applyProtection="1">
      <alignment horizontal="center"/>
      <protection locked="0"/>
    </xf>
    <xf numFmtId="0" fontId="26" fillId="8" borderId="11" xfId="0" applyFont="1" applyFill="1" applyBorder="1" applyAlignment="1" applyProtection="1">
      <alignment horizontal="center"/>
      <protection locked="0"/>
    </xf>
    <xf numFmtId="0" fontId="0" fillId="4" borderId="5" xfId="0" applyFont="1" applyFill="1" applyBorder="1" applyAlignment="1">
      <alignment horizontal="center"/>
    </xf>
    <xf numFmtId="0" fontId="0" fillId="4" borderId="15" xfId="0" applyFont="1" applyFill="1" applyBorder="1" applyAlignment="1">
      <alignment horizontal="center"/>
    </xf>
    <xf numFmtId="0" fontId="29" fillId="17" borderId="3" xfId="0" applyFont="1" applyFill="1" applyBorder="1" applyAlignment="1">
      <alignment horizontal="center" vertical="center" wrapText="1"/>
    </xf>
    <xf numFmtId="0" fontId="29" fillId="17" borderId="4" xfId="0" applyFont="1" applyFill="1" applyBorder="1" applyAlignment="1">
      <alignment horizontal="center" vertical="center" wrapText="1"/>
    </xf>
    <xf numFmtId="0" fontId="66" fillId="14" borderId="3" xfId="0" applyFont="1" applyFill="1" applyBorder="1" applyAlignment="1">
      <alignment horizontal="center"/>
    </xf>
    <xf numFmtId="0" fontId="66" fillId="14" borderId="4" xfId="0" applyFont="1" applyFill="1" applyBorder="1" applyAlignment="1">
      <alignment horizontal="center"/>
    </xf>
    <xf numFmtId="0" fontId="68" fillId="14" borderId="57" xfId="0" applyFont="1" applyFill="1" applyBorder="1" applyAlignment="1">
      <alignment horizontal="center" vertical="center"/>
    </xf>
    <xf numFmtId="0" fontId="68" fillId="14" borderId="58" xfId="0" applyFont="1" applyFill="1" applyBorder="1" applyAlignment="1">
      <alignment horizontal="center" vertical="center"/>
    </xf>
    <xf numFmtId="0" fontId="68" fillId="14" borderId="59" xfId="0" applyFont="1" applyFill="1" applyBorder="1" applyAlignment="1">
      <alignment horizontal="center" vertical="center"/>
    </xf>
    <xf numFmtId="0" fontId="17" fillId="15" borderId="51" xfId="0" applyFont="1" applyFill="1" applyBorder="1" applyAlignment="1">
      <alignment horizontal="center" vertical="center" wrapText="1"/>
    </xf>
    <xf numFmtId="0" fontId="17" fillId="15" borderId="0" xfId="0" applyFont="1" applyFill="1" applyBorder="1" applyAlignment="1">
      <alignment horizontal="center" vertical="center" wrapText="1"/>
    </xf>
    <xf numFmtId="0" fontId="17" fillId="15" borderId="52" xfId="0" applyFont="1" applyFill="1" applyBorder="1" applyAlignment="1">
      <alignment horizontal="center" vertical="center" wrapText="1"/>
    </xf>
    <xf numFmtId="0" fontId="29" fillId="9" borderId="3" xfId="0" applyFont="1" applyFill="1" applyBorder="1" applyAlignment="1">
      <alignment horizontal="center" wrapText="1"/>
    </xf>
    <xf numFmtId="0" fontId="29" fillId="9" borderId="4" xfId="0" applyFont="1" applyFill="1" applyBorder="1" applyAlignment="1">
      <alignment horizontal="center" wrapText="1"/>
    </xf>
    <xf numFmtId="0" fontId="29" fillId="9" borderId="11" xfId="0" applyFont="1" applyFill="1" applyBorder="1" applyAlignment="1">
      <alignment horizontal="center" wrapText="1"/>
    </xf>
    <xf numFmtId="0" fontId="11" fillId="17" borderId="10" xfId="0" applyFont="1" applyFill="1" applyBorder="1" applyAlignment="1">
      <alignment horizontal="center" vertical="center" wrapText="1"/>
    </xf>
    <xf numFmtId="0" fontId="11" fillId="17" borderId="13" xfId="0" applyFont="1" applyFill="1" applyBorder="1" applyAlignment="1">
      <alignment horizontal="center" vertical="center" wrapText="1"/>
    </xf>
    <xf numFmtId="0" fontId="11" fillId="17" borderId="0" xfId="0" applyFont="1" applyFill="1" applyBorder="1" applyAlignment="1">
      <alignment horizontal="center" vertical="center" wrapText="1"/>
    </xf>
    <xf numFmtId="0" fontId="11" fillId="17" borderId="14" xfId="0" applyFont="1" applyFill="1" applyBorder="1" applyAlignment="1">
      <alignment horizontal="center" vertical="center" wrapText="1"/>
    </xf>
    <xf numFmtId="0" fontId="11" fillId="17" borderId="6" xfId="0" applyFont="1" applyFill="1" applyBorder="1" applyAlignment="1">
      <alignment horizontal="center" vertical="center" wrapText="1"/>
    </xf>
    <xf numFmtId="0" fontId="11" fillId="17" borderId="15" xfId="0" applyFont="1" applyFill="1" applyBorder="1" applyAlignment="1">
      <alignment horizontal="center" vertical="center" wrapText="1"/>
    </xf>
    <xf numFmtId="0" fontId="0" fillId="9" borderId="9" xfId="0" applyFont="1" applyFill="1" applyBorder="1" applyProtection="1"/>
    <xf numFmtId="0" fontId="0" fillId="9" borderId="14" xfId="0" applyFont="1" applyFill="1" applyBorder="1" applyProtection="1"/>
    <xf numFmtId="0" fontId="0" fillId="4" borderId="1" xfId="0" applyFont="1" applyFill="1" applyBorder="1" applyAlignment="1" applyProtection="1">
      <alignment horizontal="center"/>
    </xf>
    <xf numFmtId="0" fontId="34" fillId="4" borderId="1" xfId="0" applyFont="1" applyFill="1" applyBorder="1" applyAlignment="1" applyProtection="1">
      <alignment horizontal="center" vertical="center"/>
    </xf>
    <xf numFmtId="0" fontId="0" fillId="9" borderId="5" xfId="0" applyFont="1" applyFill="1" applyBorder="1" applyProtection="1"/>
    <xf numFmtId="0" fontId="0" fillId="9" borderId="15" xfId="0" applyFont="1" applyFill="1" applyBorder="1" applyProtection="1"/>
    <xf numFmtId="0" fontId="34" fillId="4" borderId="12" xfId="0" applyFont="1" applyFill="1" applyBorder="1" applyAlignment="1" applyProtection="1">
      <alignment horizontal="center" vertical="center"/>
    </xf>
    <xf numFmtId="0" fontId="34" fillId="4" borderId="13" xfId="0" applyFont="1" applyFill="1" applyBorder="1" applyAlignment="1" applyProtection="1">
      <alignment horizontal="center" vertical="center"/>
    </xf>
    <xf numFmtId="0" fontId="34" fillId="4" borderId="9" xfId="0" applyFont="1" applyFill="1" applyBorder="1" applyAlignment="1" applyProtection="1">
      <alignment horizontal="center" vertical="center"/>
    </xf>
    <xf numFmtId="0" fontId="34" fillId="4" borderId="14" xfId="0" applyFont="1" applyFill="1" applyBorder="1" applyAlignment="1" applyProtection="1">
      <alignment horizontal="center" vertical="center"/>
    </xf>
    <xf numFmtId="0" fontId="34" fillId="4" borderId="5" xfId="0" applyFont="1" applyFill="1" applyBorder="1" applyAlignment="1" applyProtection="1">
      <alignment horizontal="center" vertical="center"/>
    </xf>
    <xf numFmtId="0" fontId="34" fillId="4" borderId="15" xfId="0" applyFont="1" applyFill="1" applyBorder="1" applyAlignment="1" applyProtection="1">
      <alignment horizontal="center" vertical="center"/>
    </xf>
    <xf numFmtId="0" fontId="29" fillId="8" borderId="3" xfId="0" applyFont="1" applyFill="1" applyBorder="1" applyAlignment="1" applyProtection="1">
      <alignment horizontal="center" vertical="center" wrapText="1"/>
    </xf>
    <xf numFmtId="0" fontId="29" fillId="8" borderId="4" xfId="0" applyFont="1" applyFill="1" applyBorder="1" applyAlignment="1" applyProtection="1">
      <alignment horizontal="center" vertical="center" wrapText="1"/>
    </xf>
    <xf numFmtId="0" fontId="29" fillId="8" borderId="11" xfId="0" applyFont="1" applyFill="1" applyBorder="1" applyAlignment="1" applyProtection="1">
      <alignment horizontal="center" vertical="center" wrapText="1"/>
    </xf>
    <xf numFmtId="0" fontId="34" fillId="4" borderId="1" xfId="0" applyFont="1" applyFill="1" applyBorder="1" applyAlignment="1" applyProtection="1">
      <alignment horizontal="center" vertical="center"/>
      <protection locked="0"/>
    </xf>
    <xf numFmtId="0" fontId="10" fillId="0" borderId="1" xfId="0" applyFont="1" applyBorder="1" applyAlignment="1" applyProtection="1">
      <alignment horizontal="center"/>
    </xf>
    <xf numFmtId="0" fontId="0" fillId="9" borderId="12" xfId="0" applyFont="1" applyFill="1" applyBorder="1" applyProtection="1"/>
    <xf numFmtId="0" fontId="0" fillId="9" borderId="13" xfId="0" applyFont="1" applyFill="1" applyBorder="1" applyProtection="1"/>
    <xf numFmtId="0" fontId="11" fillId="15" borderId="1" xfId="0" applyFont="1" applyFill="1" applyBorder="1" applyAlignment="1" applyProtection="1">
      <alignment horizontal="center" wrapText="1"/>
    </xf>
    <xf numFmtId="0" fontId="34" fillId="4" borderId="7" xfId="0" applyFont="1" applyFill="1" applyBorder="1" applyAlignment="1" applyProtection="1">
      <alignment horizontal="center" vertical="center"/>
    </xf>
    <xf numFmtId="0" fontId="34" fillId="4" borderId="8" xfId="0" applyFont="1" applyFill="1" applyBorder="1" applyAlignment="1" applyProtection="1">
      <alignment horizontal="center" vertical="center"/>
    </xf>
    <xf numFmtId="0" fontId="34" fillId="4" borderId="2" xfId="0" applyFont="1" applyFill="1" applyBorder="1" applyAlignment="1" applyProtection="1">
      <alignment horizontal="center" vertical="center"/>
    </xf>
    <xf numFmtId="0" fontId="68" fillId="14" borderId="9" xfId="0" applyFont="1" applyFill="1" applyBorder="1" applyAlignment="1" applyProtection="1">
      <alignment horizontal="center"/>
    </xf>
    <xf numFmtId="0" fontId="68" fillId="14" borderId="0" xfId="0" applyFont="1" applyFill="1" applyBorder="1" applyAlignment="1" applyProtection="1">
      <alignment horizontal="center"/>
    </xf>
    <xf numFmtId="0" fontId="29" fillId="15" borderId="9" xfId="0" applyFont="1" applyFill="1" applyBorder="1" applyAlignment="1" applyProtection="1">
      <alignment horizontal="center" wrapText="1"/>
    </xf>
    <xf numFmtId="0" fontId="29" fillId="15" borderId="0" xfId="0" applyFont="1" applyFill="1" applyBorder="1" applyAlignment="1" applyProtection="1">
      <alignment horizontal="center" wrapText="1"/>
    </xf>
    <xf numFmtId="0" fontId="10" fillId="0" borderId="9" xfId="0" applyFont="1" applyBorder="1" applyAlignment="1" applyProtection="1">
      <alignment horizontal="center"/>
    </xf>
    <xf numFmtId="0" fontId="10" fillId="0" borderId="14" xfId="0" applyFont="1" applyBorder="1" applyAlignment="1" applyProtection="1">
      <alignment horizontal="center"/>
    </xf>
    <xf numFmtId="0" fontId="11" fillId="15" borderId="3" xfId="0" applyFont="1" applyFill="1" applyBorder="1" applyAlignment="1" applyProtection="1">
      <alignment horizontal="center" wrapText="1"/>
    </xf>
    <xf numFmtId="0" fontId="11" fillId="15" borderId="11" xfId="0" applyFont="1" applyFill="1" applyBorder="1" applyAlignment="1" applyProtection="1">
      <alignment horizontal="center" wrapText="1"/>
    </xf>
    <xf numFmtId="0" fontId="29" fillId="17" borderId="3" xfId="0" applyFont="1" applyFill="1" applyBorder="1" applyAlignment="1" applyProtection="1">
      <alignment horizontal="center" vertical="center" wrapText="1"/>
    </xf>
    <xf numFmtId="0" fontId="29" fillId="17" borderId="4" xfId="0" applyFont="1" applyFill="1" applyBorder="1" applyAlignment="1" applyProtection="1">
      <alignment horizontal="center" vertical="center" wrapText="1"/>
    </xf>
    <xf numFmtId="0" fontId="29" fillId="17" borderId="11" xfId="0" applyFont="1" applyFill="1" applyBorder="1" applyAlignment="1" applyProtection="1">
      <alignment horizontal="center" vertical="center" wrapText="1"/>
    </xf>
    <xf numFmtId="0" fontId="0" fillId="2" borderId="3" xfId="0" applyFont="1" applyFill="1" applyBorder="1" applyAlignment="1" applyProtection="1">
      <alignment horizontal="center"/>
      <protection locked="0"/>
    </xf>
    <xf numFmtId="0" fontId="0" fillId="2" borderId="11" xfId="0" applyFont="1" applyFill="1" applyBorder="1" applyAlignment="1" applyProtection="1">
      <alignment horizontal="center"/>
      <protection locked="0"/>
    </xf>
    <xf numFmtId="0" fontId="10" fillId="15" borderId="12" xfId="0" applyFont="1" applyFill="1" applyBorder="1" applyAlignment="1" applyProtection="1">
      <alignment horizontal="center" wrapText="1"/>
    </xf>
    <xf numFmtId="0" fontId="10" fillId="15" borderId="13" xfId="0" applyFont="1" applyFill="1" applyBorder="1" applyAlignment="1" applyProtection="1">
      <alignment horizontal="center" wrapText="1"/>
    </xf>
    <xf numFmtId="0" fontId="10" fillId="15" borderId="5" xfId="0" applyFont="1" applyFill="1" applyBorder="1" applyAlignment="1" applyProtection="1">
      <alignment horizontal="center" wrapText="1"/>
    </xf>
    <xf numFmtId="0" fontId="10" fillId="15" borderId="15" xfId="0" applyFont="1" applyFill="1" applyBorder="1" applyAlignment="1" applyProtection="1">
      <alignment horizontal="center" wrapText="1"/>
    </xf>
    <xf numFmtId="0" fontId="0" fillId="2" borderId="3" xfId="0" applyFont="1" applyFill="1" applyBorder="1" applyAlignment="1">
      <alignment horizontal="center"/>
    </xf>
    <xf numFmtId="0" fontId="0" fillId="2" borderId="11" xfId="0" applyFont="1" applyFill="1" applyBorder="1" applyAlignment="1">
      <alignment horizontal="center"/>
    </xf>
    <xf numFmtId="1" fontId="18" fillId="2" borderId="3" xfId="0" applyNumberFormat="1" applyFont="1" applyFill="1" applyBorder="1" applyAlignment="1">
      <alignment horizontal="center"/>
    </xf>
    <xf numFmtId="1" fontId="18" fillId="2" borderId="11" xfId="0" applyNumberFormat="1" applyFont="1" applyFill="1" applyBorder="1" applyAlignment="1">
      <alignment horizontal="center"/>
    </xf>
    <xf numFmtId="0" fontId="29" fillId="8" borderId="3" xfId="0" applyFont="1" applyFill="1" applyBorder="1" applyAlignment="1">
      <alignment horizontal="center" vertical="center" wrapText="1"/>
    </xf>
    <xf numFmtId="0" fontId="29" fillId="8" borderId="4" xfId="0" applyFont="1" applyFill="1" applyBorder="1" applyAlignment="1">
      <alignment horizontal="center" vertical="center" wrapText="1"/>
    </xf>
    <xf numFmtId="0" fontId="29" fillId="8" borderId="11" xfId="0" applyFont="1" applyFill="1" applyBorder="1" applyAlignment="1">
      <alignment horizontal="center" vertical="center" wrapText="1"/>
    </xf>
    <xf numFmtId="0" fontId="17" fillId="5" borderId="1" xfId="0" applyFont="1" applyFill="1" applyBorder="1" applyAlignment="1">
      <alignment horizontal="center"/>
    </xf>
    <xf numFmtId="0" fontId="16" fillId="4" borderId="1" xfId="0" applyFont="1" applyFill="1" applyBorder="1" applyAlignment="1">
      <alignment horizontal="left" wrapText="1"/>
    </xf>
    <xf numFmtId="0" fontId="11" fillId="7" borderId="1" xfId="0" applyFont="1" applyFill="1" applyBorder="1" applyAlignment="1">
      <alignment horizontal="center" wrapText="1"/>
    </xf>
    <xf numFmtId="0" fontId="11" fillId="7" borderId="3" xfId="0" applyFont="1" applyFill="1" applyBorder="1" applyAlignment="1">
      <alignment horizontal="center" wrapText="1"/>
    </xf>
    <xf numFmtId="0" fontId="11" fillId="7" borderId="11" xfId="0" applyFont="1" applyFill="1" applyBorder="1" applyAlignment="1">
      <alignment horizontal="center" wrapText="1"/>
    </xf>
    <xf numFmtId="0" fontId="0" fillId="0" borderId="0" xfId="0" applyAlignment="1">
      <alignment horizontal="center"/>
    </xf>
    <xf numFmtId="2" fontId="18" fillId="18" borderId="1" xfId="0" applyNumberFormat="1" applyFont="1" applyFill="1" applyBorder="1" applyAlignment="1" applyProtection="1">
      <alignment horizontal="center"/>
      <protection locked="0"/>
    </xf>
    <xf numFmtId="2" fontId="0" fillId="0" borderId="2" xfId="0" applyNumberFormat="1" applyBorder="1" applyAlignment="1">
      <alignment horizontal="center"/>
    </xf>
    <xf numFmtId="2" fontId="18" fillId="18" borderId="2" xfId="0" applyNumberFormat="1" applyFont="1" applyFill="1" applyBorder="1" applyAlignment="1" applyProtection="1">
      <alignment horizontal="center"/>
      <protection locked="0"/>
    </xf>
    <xf numFmtId="2" fontId="18" fillId="12" borderId="1" xfId="0" applyNumberFormat="1" applyFont="1" applyFill="1" applyBorder="1" applyAlignment="1" applyProtection="1">
      <alignment horizontal="center"/>
      <protection locked="0"/>
    </xf>
    <xf numFmtId="2" fontId="0" fillId="12" borderId="2" xfId="0" applyNumberFormat="1" applyFill="1" applyBorder="1" applyAlignment="1">
      <alignment horizontal="center"/>
    </xf>
    <xf numFmtId="2" fontId="0" fillId="0" borderId="1" xfId="0" applyNumberFormat="1" applyBorder="1" applyAlignment="1">
      <alignment horizontal="center"/>
    </xf>
    <xf numFmtId="0" fontId="69" fillId="14" borderId="63" xfId="0" applyFont="1" applyFill="1" applyBorder="1" applyAlignment="1">
      <alignment horizontal="center" wrapText="1"/>
    </xf>
    <xf numFmtId="0" fontId="69" fillId="14" borderId="6" xfId="0" applyFont="1" applyFill="1" applyBorder="1" applyAlignment="1">
      <alignment horizontal="center" wrapText="1"/>
    </xf>
    <xf numFmtId="0" fontId="69" fillId="14" borderId="15" xfId="0" applyFont="1" applyFill="1" applyBorder="1" applyAlignment="1">
      <alignment horizontal="center" wrapText="1"/>
    </xf>
    <xf numFmtId="0" fontId="11" fillId="15" borderId="12" xfId="0" applyFont="1" applyFill="1" applyBorder="1" applyAlignment="1">
      <alignment horizontal="center" wrapText="1"/>
    </xf>
    <xf numFmtId="0" fontId="11" fillId="15" borderId="13" xfId="0" applyFont="1" applyFill="1" applyBorder="1" applyAlignment="1">
      <alignment horizontal="center" wrapText="1"/>
    </xf>
    <xf numFmtId="0" fontId="11" fillId="15" borderId="5" xfId="0" applyFont="1" applyFill="1" applyBorder="1" applyAlignment="1">
      <alignment horizontal="center" wrapText="1"/>
    </xf>
    <xf numFmtId="0" fontId="11" fillId="15" borderId="15" xfId="0" applyFont="1" applyFill="1" applyBorder="1" applyAlignment="1">
      <alignment horizontal="center" wrapText="1"/>
    </xf>
    <xf numFmtId="0" fontId="11" fillId="15" borderId="10" xfId="0" applyFont="1" applyFill="1" applyBorder="1" applyAlignment="1">
      <alignment horizontal="center"/>
    </xf>
    <xf numFmtId="0" fontId="11" fillId="15" borderId="13" xfId="0" applyFont="1" applyFill="1" applyBorder="1" applyAlignment="1">
      <alignment horizontal="center"/>
    </xf>
    <xf numFmtId="0" fontId="11" fillId="15" borderId="6" xfId="0" applyFont="1" applyFill="1" applyBorder="1" applyAlignment="1">
      <alignment horizontal="center"/>
    </xf>
    <xf numFmtId="0" fontId="11" fillId="15" borderId="15" xfId="0" applyFont="1" applyFill="1" applyBorder="1" applyAlignment="1">
      <alignment horizontal="center"/>
    </xf>
    <xf numFmtId="0" fontId="13" fillId="15" borderId="63" xfId="0" applyFont="1" applyFill="1" applyBorder="1" applyAlignment="1">
      <alignment horizontal="center" wrapText="1"/>
    </xf>
    <xf numFmtId="0" fontId="13" fillId="15" borderId="6" xfId="0" applyFont="1" applyFill="1" applyBorder="1" applyAlignment="1">
      <alignment horizontal="center" wrapText="1"/>
    </xf>
    <xf numFmtId="0" fontId="13" fillId="15" borderId="15" xfId="0" applyFont="1" applyFill="1" applyBorder="1" applyAlignment="1">
      <alignment horizontal="center" wrapText="1"/>
    </xf>
    <xf numFmtId="0" fontId="18" fillId="0" borderId="1" xfId="0" applyFont="1" applyBorder="1" applyAlignment="1">
      <alignment horizontal="center"/>
    </xf>
    <xf numFmtId="0" fontId="18" fillId="0" borderId="3" xfId="0" applyFont="1" applyBorder="1" applyAlignment="1">
      <alignment horizontal="center"/>
    </xf>
    <xf numFmtId="0" fontId="18" fillId="0" borderId="4" xfId="0" applyFont="1" applyBorder="1" applyAlignment="1">
      <alignment horizontal="center"/>
    </xf>
    <xf numFmtId="0" fontId="18" fillId="0" borderId="11" xfId="0" applyFont="1" applyBorder="1" applyAlignment="1">
      <alignment horizontal="center"/>
    </xf>
    <xf numFmtId="0" fontId="18" fillId="15" borderId="16" xfId="0" applyFont="1" applyFill="1" applyBorder="1" applyAlignment="1">
      <alignment horizontal="center" wrapText="1"/>
    </xf>
    <xf numFmtId="0" fontId="18" fillId="15" borderId="11" xfId="0" applyFont="1" applyFill="1" applyBorder="1" applyAlignment="1">
      <alignment horizontal="center" wrapText="1"/>
    </xf>
    <xf numFmtId="0" fontId="18" fillId="15" borderId="47" xfId="0" applyFont="1" applyFill="1" applyBorder="1" applyAlignment="1">
      <alignment horizontal="left"/>
    </xf>
    <xf numFmtId="0" fontId="18" fillId="15" borderId="1" xfId="0" applyFont="1" applyFill="1" applyBorder="1" applyAlignment="1">
      <alignment horizontal="left"/>
    </xf>
    <xf numFmtId="0" fontId="18" fillId="15" borderId="47" xfId="0" applyFont="1" applyFill="1" applyBorder="1" applyAlignment="1">
      <alignment horizontal="left" wrapText="1"/>
    </xf>
    <xf numFmtId="0" fontId="18" fillId="15" borderId="1" xfId="0" applyFont="1" applyFill="1" applyBorder="1" applyAlignment="1">
      <alignment horizontal="left" wrapText="1"/>
    </xf>
    <xf numFmtId="0" fontId="18" fillId="15" borderId="16" xfId="0" applyFont="1" applyFill="1" applyBorder="1" applyAlignment="1">
      <alignment horizontal="center"/>
    </xf>
    <xf numFmtId="0" fontId="18" fillId="15" borderId="11" xfId="0" applyFont="1" applyFill="1" applyBorder="1" applyAlignment="1">
      <alignment horizontal="center"/>
    </xf>
    <xf numFmtId="0" fontId="11" fillId="15" borderId="47" xfId="0" applyFont="1" applyFill="1" applyBorder="1" applyAlignment="1">
      <alignment horizontal="left" vertical="center"/>
    </xf>
    <xf numFmtId="0" fontId="11" fillId="15" borderId="1" xfId="0" applyFont="1" applyFill="1" applyBorder="1" applyAlignment="1">
      <alignment horizontal="left" vertical="center"/>
    </xf>
    <xf numFmtId="0" fontId="0" fillId="18" borderId="1" xfId="0" applyFill="1" applyBorder="1" applyAlignment="1" applyProtection="1">
      <alignment horizontal="center"/>
      <protection locked="0"/>
    </xf>
    <xf numFmtId="0" fontId="18" fillId="0" borderId="1" xfId="0" applyFont="1" applyBorder="1" applyAlignment="1">
      <alignment horizontal="left" vertical="center"/>
    </xf>
    <xf numFmtId="0" fontId="18" fillId="12" borderId="1" xfId="0" applyFont="1" applyFill="1" applyBorder="1" applyAlignment="1">
      <alignment horizontal="left" vertical="center"/>
    </xf>
    <xf numFmtId="0" fontId="18" fillId="15" borderId="65" xfId="0" applyFont="1" applyFill="1" applyBorder="1" applyAlignment="1">
      <alignment horizontal="left" vertical="center"/>
    </xf>
    <xf numFmtId="0" fontId="18" fillId="15" borderId="67" xfId="0" applyFont="1" applyFill="1" applyBorder="1" applyAlignment="1">
      <alignment horizontal="left" vertical="center"/>
    </xf>
    <xf numFmtId="0" fontId="11" fillId="0" borderId="1" xfId="0" applyFont="1" applyBorder="1" applyAlignment="1">
      <alignment horizontal="center" vertical="center"/>
    </xf>
    <xf numFmtId="0" fontId="56" fillId="14" borderId="51" xfId="0" applyFont="1" applyFill="1" applyBorder="1" applyAlignment="1">
      <alignment horizontal="center"/>
    </xf>
    <xf numFmtId="0" fontId="56" fillId="14" borderId="0" xfId="0" applyFont="1" applyFill="1" applyBorder="1" applyAlignment="1">
      <alignment horizontal="center"/>
    </xf>
    <xf numFmtId="0" fontId="56" fillId="14" borderId="14" xfId="0" applyFont="1" applyFill="1" applyBorder="1" applyAlignment="1">
      <alignment horizontal="center"/>
    </xf>
    <xf numFmtId="0" fontId="11" fillId="15" borderId="1" xfId="0" applyFont="1" applyFill="1" applyBorder="1" applyAlignment="1">
      <alignment horizontal="center" wrapText="1"/>
    </xf>
    <xf numFmtId="0" fontId="11" fillId="15" borderId="47" xfId="0" applyFont="1" applyFill="1" applyBorder="1" applyAlignment="1">
      <alignment horizontal="center" wrapText="1"/>
    </xf>
    <xf numFmtId="0" fontId="18" fillId="15" borderId="65" xfId="0" applyFont="1" applyFill="1" applyBorder="1" applyAlignment="1">
      <alignment horizontal="center" vertical="center" wrapText="1"/>
    </xf>
    <xf numFmtId="0" fontId="18" fillId="15" borderId="72" xfId="0" applyFont="1" applyFill="1" applyBorder="1" applyAlignment="1">
      <alignment horizontal="center" vertical="center"/>
    </xf>
    <xf numFmtId="0" fontId="18" fillId="15" borderId="67" xfId="0" applyFont="1" applyFill="1" applyBorder="1" applyAlignment="1">
      <alignment horizontal="center" vertical="center"/>
    </xf>
    <xf numFmtId="0" fontId="18" fillId="0" borderId="7" xfId="0" applyFont="1" applyBorder="1" applyAlignment="1">
      <alignment horizontal="left" vertical="center"/>
    </xf>
    <xf numFmtId="0" fontId="18" fillId="0" borderId="8" xfId="0" applyFont="1" applyBorder="1" applyAlignment="1">
      <alignment horizontal="left" vertical="center"/>
    </xf>
    <xf numFmtId="0" fontId="18" fillId="0" borderId="7" xfId="0" applyFont="1" applyBorder="1" applyAlignment="1">
      <alignment horizontal="left" vertical="center" wrapText="1"/>
    </xf>
    <xf numFmtId="0" fontId="18" fillId="0" borderId="2" xfId="0" applyFont="1" applyBorder="1" applyAlignment="1">
      <alignment horizontal="left" vertical="center" wrapText="1"/>
    </xf>
    <xf numFmtId="0" fontId="18" fillId="0" borderId="2" xfId="0" applyFont="1" applyBorder="1" applyAlignment="1">
      <alignment horizontal="left" vertical="center"/>
    </xf>
    <xf numFmtId="0" fontId="69" fillId="14" borderId="49" xfId="0" applyFont="1" applyFill="1" applyBorder="1" applyAlignment="1">
      <alignment horizontal="center" wrapText="1"/>
    </xf>
    <xf numFmtId="0" fontId="69" fillId="14" borderId="10" xfId="0" applyFont="1" applyFill="1" applyBorder="1" applyAlignment="1">
      <alignment horizontal="center" wrapText="1"/>
    </xf>
    <xf numFmtId="0" fontId="69" fillId="14" borderId="13" xfId="0" applyFont="1" applyFill="1" applyBorder="1" applyAlignment="1">
      <alignment horizontal="center" wrapText="1"/>
    </xf>
    <xf numFmtId="0" fontId="18" fillId="15" borderId="72" xfId="0" applyFont="1" applyFill="1" applyBorder="1" applyAlignment="1">
      <alignment horizontal="left" vertical="center"/>
    </xf>
    <xf numFmtId="2" fontId="18" fillId="9" borderId="3" xfId="0" applyNumberFormat="1" applyFont="1" applyFill="1" applyBorder="1" applyAlignment="1">
      <alignment horizontal="center"/>
    </xf>
    <xf numFmtId="2" fontId="18" fillId="9" borderId="11" xfId="0" applyNumberFormat="1" applyFont="1" applyFill="1" applyBorder="1" applyAlignment="1">
      <alignment horizontal="center"/>
    </xf>
    <xf numFmtId="0" fontId="67" fillId="14" borderId="57" xfId="0" applyFont="1" applyFill="1" applyBorder="1" applyAlignment="1">
      <alignment horizontal="center"/>
    </xf>
    <xf numFmtId="0" fontId="67" fillId="14" borderId="58" xfId="0" applyFont="1" applyFill="1" applyBorder="1" applyAlignment="1">
      <alignment horizontal="center"/>
    </xf>
    <xf numFmtId="0" fontId="67" fillId="14" borderId="59" xfId="0" applyFont="1" applyFill="1" applyBorder="1" applyAlignment="1">
      <alignment horizontal="center"/>
    </xf>
    <xf numFmtId="0" fontId="13" fillId="15" borderId="51" xfId="0" applyFont="1" applyFill="1" applyBorder="1" applyAlignment="1">
      <alignment horizontal="center" vertical="center" wrapText="1"/>
    </xf>
    <xf numFmtId="0" fontId="13" fillId="15" borderId="0" xfId="0" applyFont="1" applyFill="1" applyBorder="1" applyAlignment="1">
      <alignment horizontal="center" vertical="center" wrapText="1"/>
    </xf>
    <xf numFmtId="0" fontId="13" fillId="15" borderId="52"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11" xfId="0" applyFont="1" applyBorder="1" applyAlignment="1">
      <alignment horizontal="center" vertical="center" wrapText="1"/>
    </xf>
    <xf numFmtId="0" fontId="0" fillId="18" borderId="3" xfId="0" applyFill="1" applyBorder="1" applyAlignment="1" applyProtection="1">
      <alignment horizontal="center"/>
      <protection locked="0"/>
    </xf>
    <xf numFmtId="0" fontId="0" fillId="18" borderId="11" xfId="0" applyFill="1" applyBorder="1" applyAlignment="1" applyProtection="1">
      <alignment horizontal="center"/>
      <protection locked="0"/>
    </xf>
    <xf numFmtId="0" fontId="0" fillId="0" borderId="3" xfId="0" applyFont="1" applyBorder="1" applyAlignment="1">
      <alignment horizontal="center" vertical="center"/>
    </xf>
    <xf numFmtId="0" fontId="18" fillId="15" borderId="47" xfId="0" applyFont="1" applyFill="1" applyBorder="1" applyAlignment="1">
      <alignment horizontal="center" vertical="center"/>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54" fillId="0" borderId="16" xfId="0" applyNumberFormat="1" applyFont="1" applyBorder="1" applyAlignment="1">
      <alignment horizontal="center"/>
    </xf>
    <xf numFmtId="0" fontId="54" fillId="0" borderId="17" xfId="0" applyNumberFormat="1" applyFont="1" applyBorder="1" applyAlignment="1">
      <alignment horizontal="center"/>
    </xf>
    <xf numFmtId="0" fontId="53" fillId="14" borderId="63" xfId="0" applyFont="1" applyFill="1" applyBorder="1" applyAlignment="1">
      <alignment horizontal="center" vertical="center" wrapText="1"/>
    </xf>
    <xf numFmtId="0" fontId="53" fillId="14" borderId="6" xfId="0" applyFont="1" applyFill="1" applyBorder="1" applyAlignment="1">
      <alignment horizontal="center" vertical="center" wrapText="1"/>
    </xf>
    <xf numFmtId="0" fontId="50" fillId="0" borderId="16" xfId="0" applyNumberFormat="1" applyFont="1" applyBorder="1" applyAlignment="1">
      <alignment horizontal="center"/>
    </xf>
    <xf numFmtId="0" fontId="50" fillId="0" borderId="17" xfId="0" applyNumberFormat="1" applyFont="1" applyBorder="1" applyAlignment="1">
      <alignment horizontal="center"/>
    </xf>
    <xf numFmtId="14" fontId="50" fillId="0" borderId="16" xfId="0" applyNumberFormat="1" applyFont="1" applyBorder="1" applyAlignment="1">
      <alignment horizontal="center"/>
    </xf>
    <xf numFmtId="14" fontId="50" fillId="0" borderId="17" xfId="0" applyNumberFormat="1" applyFont="1" applyBorder="1" applyAlignment="1">
      <alignment horizontal="center"/>
    </xf>
    <xf numFmtId="0" fontId="52" fillId="0" borderId="12" xfId="0" applyFont="1" applyBorder="1" applyAlignment="1">
      <alignment horizontal="center" vertical="center"/>
    </xf>
    <xf numFmtId="0" fontId="52" fillId="0" borderId="13" xfId="0" applyFont="1" applyBorder="1" applyAlignment="1">
      <alignment horizontal="center" vertical="center"/>
    </xf>
    <xf numFmtId="0" fontId="52" fillId="0" borderId="5" xfId="0" applyFont="1" applyBorder="1" applyAlignment="1">
      <alignment horizontal="center" vertical="center"/>
    </xf>
    <xf numFmtId="0" fontId="52" fillId="0" borderId="15" xfId="0" applyFont="1" applyBorder="1" applyAlignment="1">
      <alignment horizontal="center" vertical="center"/>
    </xf>
    <xf numFmtId="0" fontId="44" fillId="14" borderId="57" xfId="0" applyFont="1" applyFill="1" applyBorder="1" applyAlignment="1">
      <alignment horizontal="center" vertical="center"/>
    </xf>
    <xf numFmtId="0" fontId="44" fillId="14" borderId="58" xfId="0" applyFont="1" applyFill="1" applyBorder="1" applyAlignment="1">
      <alignment horizontal="center" vertical="center"/>
    </xf>
    <xf numFmtId="0" fontId="44" fillId="14" borderId="59" xfId="0" applyFont="1" applyFill="1" applyBorder="1" applyAlignment="1">
      <alignment horizontal="center" vertical="center"/>
    </xf>
    <xf numFmtId="0" fontId="44" fillId="14" borderId="51" xfId="0" applyFont="1" applyFill="1" applyBorder="1" applyAlignment="1">
      <alignment horizontal="center" vertical="center"/>
    </xf>
    <xf numFmtId="0" fontId="44" fillId="14" borderId="0" xfId="0" applyFont="1" applyFill="1" applyBorder="1" applyAlignment="1">
      <alignment horizontal="center" vertical="center"/>
    </xf>
    <xf numFmtId="0" fontId="44" fillId="14" borderId="52" xfId="0" applyFont="1" applyFill="1" applyBorder="1" applyAlignment="1">
      <alignment horizontal="center" vertical="center"/>
    </xf>
    <xf numFmtId="0" fontId="53" fillId="14" borderId="18" xfId="0" applyFont="1" applyFill="1" applyBorder="1" applyAlignment="1">
      <alignment horizontal="center"/>
    </xf>
    <xf numFmtId="0" fontId="53" fillId="14" borderId="19" xfId="0" applyFont="1" applyFill="1" applyBorder="1" applyAlignment="1">
      <alignment horizontal="center"/>
    </xf>
    <xf numFmtId="0" fontId="53" fillId="14" borderId="58" xfId="0" applyFont="1" applyFill="1" applyBorder="1" applyAlignment="1">
      <alignment horizontal="center"/>
    </xf>
    <xf numFmtId="0" fontId="53" fillId="14" borderId="61" xfId="0" applyFont="1" applyFill="1" applyBorder="1" applyAlignment="1">
      <alignment horizontal="center"/>
    </xf>
    <xf numFmtId="0" fontId="49" fillId="15" borderId="51" xfId="0" applyFont="1" applyFill="1" applyBorder="1" applyAlignment="1">
      <alignment horizontal="center" vertical="center"/>
    </xf>
    <xf numFmtId="0" fontId="49" fillId="15" borderId="0" xfId="0" applyFont="1" applyFill="1" applyBorder="1" applyAlignment="1">
      <alignment horizontal="center" vertical="center"/>
    </xf>
    <xf numFmtId="0" fontId="49" fillId="15" borderId="52" xfId="0" applyFont="1" applyFill="1" applyBorder="1" applyAlignment="1">
      <alignment horizontal="center" vertical="center"/>
    </xf>
    <xf numFmtId="0" fontId="45" fillId="0" borderId="51" xfId="0" applyFont="1" applyFill="1" applyBorder="1" applyAlignment="1">
      <alignment horizontal="center" vertical="center" wrapText="1"/>
    </xf>
    <xf numFmtId="0" fontId="45" fillId="0" borderId="0" xfId="0" applyFont="1" applyFill="1" applyBorder="1" applyAlignment="1">
      <alignment horizontal="center" vertical="center" wrapText="1"/>
    </xf>
    <xf numFmtId="0" fontId="45" fillId="0" borderId="52" xfId="0" applyFont="1" applyFill="1" applyBorder="1" applyAlignment="1">
      <alignment horizontal="center" vertical="center" wrapText="1"/>
    </xf>
    <xf numFmtId="0" fontId="54" fillId="0" borderId="20" xfId="0" applyNumberFormat="1" applyFont="1" applyFill="1" applyBorder="1" applyAlignment="1">
      <alignment horizontal="left"/>
    </xf>
    <xf numFmtId="0" fontId="54" fillId="0" borderId="21" xfId="0" applyNumberFormat="1" applyFont="1" applyFill="1" applyBorder="1" applyAlignment="1">
      <alignment horizontal="left"/>
    </xf>
    <xf numFmtId="0" fontId="54" fillId="0" borderId="16" xfId="0" applyNumberFormat="1" applyFont="1" applyFill="1" applyBorder="1" applyAlignment="1">
      <alignment horizontal="left"/>
    </xf>
    <xf numFmtId="0" fontId="54" fillId="0" borderId="4" xfId="0" applyNumberFormat="1" applyFont="1" applyFill="1" applyBorder="1" applyAlignment="1">
      <alignment horizontal="left"/>
    </xf>
    <xf numFmtId="14" fontId="54" fillId="0" borderId="16" xfId="0" applyNumberFormat="1" applyFont="1" applyFill="1" applyBorder="1" applyAlignment="1">
      <alignment horizontal="left"/>
    </xf>
    <xf numFmtId="14" fontId="54" fillId="0" borderId="4" xfId="0" applyNumberFormat="1" applyFont="1" applyFill="1" applyBorder="1" applyAlignment="1">
      <alignment horizontal="left"/>
    </xf>
    <xf numFmtId="0" fontId="51" fillId="0" borderId="11" xfId="0" applyFont="1" applyBorder="1" applyAlignment="1">
      <alignment horizontal="center" vertical="center"/>
    </xf>
    <xf numFmtId="165" fontId="46" fillId="15" borderId="74" xfId="32" applyNumberFormat="1" applyFont="1" applyFill="1" applyBorder="1" applyAlignment="1">
      <alignment horizontal="center" vertical="center" wrapText="1"/>
    </xf>
    <xf numFmtId="0" fontId="52" fillId="0" borderId="9" xfId="0" applyFont="1" applyBorder="1" applyAlignment="1">
      <alignment horizontal="center" vertical="center"/>
    </xf>
    <xf numFmtId="0" fontId="52" fillId="0" borderId="52" xfId="0" applyFont="1" applyBorder="1" applyAlignment="1">
      <alignment horizontal="center" vertical="center"/>
    </xf>
    <xf numFmtId="0" fontId="51" fillId="0" borderId="15" xfId="0" applyFont="1" applyBorder="1" applyAlignment="1">
      <alignment horizontal="center" vertical="center"/>
    </xf>
    <xf numFmtId="0" fontId="51" fillId="0" borderId="13" xfId="0" applyFont="1" applyBorder="1" applyAlignment="1">
      <alignment horizontal="center" vertical="center"/>
    </xf>
    <xf numFmtId="165" fontId="46" fillId="15" borderId="66" xfId="32" applyNumberFormat="1" applyFont="1" applyFill="1" applyBorder="1" applyAlignment="1">
      <alignment horizontal="center" vertical="center" wrapText="1"/>
    </xf>
    <xf numFmtId="165" fontId="46" fillId="15" borderId="73" xfId="32" applyNumberFormat="1" applyFont="1" applyFill="1" applyBorder="1" applyAlignment="1">
      <alignment horizontal="center" vertical="center" wrapText="1"/>
    </xf>
    <xf numFmtId="0" fontId="0" fillId="15" borderId="51" xfId="0" applyFill="1" applyBorder="1" applyAlignment="1">
      <alignment horizontal="center" vertical="center" wrapText="1"/>
    </xf>
    <xf numFmtId="0" fontId="0" fillId="15" borderId="0" xfId="0" applyFill="1" applyBorder="1" applyAlignment="1">
      <alignment horizontal="center" vertical="center" wrapText="1"/>
    </xf>
    <xf numFmtId="0" fontId="0" fillId="15" borderId="52" xfId="0" applyFill="1" applyBorder="1" applyAlignment="1">
      <alignment horizontal="center" vertical="center" wrapText="1"/>
    </xf>
    <xf numFmtId="0" fontId="0" fillId="15" borderId="53" xfId="0" applyFill="1" applyBorder="1" applyAlignment="1">
      <alignment horizontal="center" vertical="center" wrapText="1"/>
    </xf>
    <xf numFmtId="0" fontId="0" fillId="15" borderId="54" xfId="0" applyFill="1" applyBorder="1" applyAlignment="1">
      <alignment horizontal="center" vertical="center" wrapText="1"/>
    </xf>
    <xf numFmtId="0" fontId="0" fillId="15" borderId="56" xfId="0" applyFill="1" applyBorder="1" applyAlignment="1">
      <alignment horizontal="center" vertical="center" wrapText="1"/>
    </xf>
    <xf numFmtId="0" fontId="58" fillId="15" borderId="12" xfId="0" applyFont="1" applyFill="1" applyBorder="1" applyAlignment="1">
      <alignment horizontal="center" vertical="center" wrapText="1"/>
    </xf>
    <xf numFmtId="0" fontId="58" fillId="15" borderId="50" xfId="0" applyFont="1" applyFill="1" applyBorder="1" applyAlignment="1">
      <alignment horizontal="center" vertical="center" wrapText="1"/>
    </xf>
    <xf numFmtId="0" fontId="50" fillId="0" borderId="20" xfId="0" applyNumberFormat="1" applyFont="1" applyBorder="1" applyAlignment="1">
      <alignment horizontal="center"/>
    </xf>
    <xf numFmtId="0" fontId="50" fillId="0" borderId="22" xfId="0" applyNumberFormat="1" applyFont="1" applyBorder="1" applyAlignment="1">
      <alignment horizontal="center"/>
    </xf>
    <xf numFmtId="165" fontId="1" fillId="15" borderId="47" xfId="32" applyNumberFormat="1" applyFont="1" applyFill="1" applyBorder="1" applyAlignment="1">
      <alignment horizontal="center" vertical="center" wrapText="1"/>
    </xf>
    <xf numFmtId="0" fontId="31" fillId="0" borderId="1" xfId="0" applyFont="1" applyBorder="1" applyAlignment="1">
      <alignment horizontal="center" vertical="center"/>
    </xf>
    <xf numFmtId="0" fontId="33"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5" xfId="0" applyFont="1" applyBorder="1" applyAlignment="1">
      <alignment horizontal="center" vertical="center"/>
    </xf>
    <xf numFmtId="0" fontId="33" fillId="0" borderId="15" xfId="0" applyFont="1" applyBorder="1" applyAlignment="1">
      <alignment horizontal="center" vertical="center"/>
    </xf>
    <xf numFmtId="0" fontId="0" fillId="0" borderId="20" xfId="0" applyNumberFormat="1" applyFont="1" applyBorder="1" applyAlignment="1">
      <alignment horizontal="left"/>
    </xf>
    <xf numFmtId="0" fontId="0" fillId="0" borderId="21" xfId="0" applyNumberFormat="1" applyFont="1" applyBorder="1" applyAlignment="1">
      <alignment horizontal="left"/>
    </xf>
    <xf numFmtId="165" fontId="25" fillId="15" borderId="24" xfId="32" applyNumberFormat="1" applyFont="1" applyFill="1" applyBorder="1" applyAlignment="1">
      <alignment vertical="center" wrapText="1"/>
    </xf>
    <xf numFmtId="165" fontId="25" fillId="15" borderId="22" xfId="32" applyNumberFormat="1" applyFont="1" applyFill="1" applyBorder="1" applyAlignment="1">
      <alignment vertical="center" wrapText="1"/>
    </xf>
    <xf numFmtId="0" fontId="0" fillId="0" borderId="20" xfId="0" applyNumberFormat="1" applyFont="1" applyBorder="1" applyAlignment="1">
      <alignment horizontal="center"/>
    </xf>
    <xf numFmtId="0" fontId="0" fillId="0" borderId="23" xfId="0" applyNumberFormat="1" applyFont="1" applyBorder="1" applyAlignment="1">
      <alignment horizontal="center"/>
    </xf>
    <xf numFmtId="0" fontId="69" fillId="14" borderId="18" xfId="0" applyFont="1" applyFill="1" applyBorder="1" applyAlignment="1">
      <alignment horizontal="center"/>
    </xf>
    <xf numFmtId="0" fontId="69" fillId="14" borderId="19" xfId="0" applyFont="1" applyFill="1" applyBorder="1" applyAlignment="1">
      <alignment horizontal="center"/>
    </xf>
    <xf numFmtId="0" fontId="11" fillId="15" borderId="1" xfId="0" applyFont="1" applyFill="1" applyBorder="1" applyAlignment="1">
      <alignment horizontal="center" vertical="center" wrapText="1"/>
    </xf>
    <xf numFmtId="0" fontId="0" fillId="0" borderId="16" xfId="0" applyNumberFormat="1" applyFont="1" applyBorder="1" applyAlignment="1">
      <alignment horizontal="left"/>
    </xf>
    <xf numFmtId="0" fontId="0" fillId="0" borderId="4" xfId="0" applyNumberFormat="1" applyFont="1" applyBorder="1" applyAlignment="1">
      <alignment horizontal="left"/>
    </xf>
    <xf numFmtId="165" fontId="25" fillId="15" borderId="3" xfId="32" applyNumberFormat="1" applyFont="1" applyFill="1" applyBorder="1" applyAlignment="1">
      <alignment vertical="center"/>
    </xf>
    <xf numFmtId="165" fontId="25" fillId="15" borderId="17" xfId="32" applyNumberFormat="1" applyFont="1" applyFill="1" applyBorder="1" applyAlignment="1">
      <alignment vertical="center"/>
    </xf>
    <xf numFmtId="0" fontId="0" fillId="0" borderId="16" xfId="0" applyNumberFormat="1" applyFont="1" applyBorder="1" applyAlignment="1">
      <alignment horizontal="center"/>
    </xf>
    <xf numFmtId="0" fontId="0" fillId="0" borderId="11" xfId="0" applyNumberFormat="1" applyFont="1" applyBorder="1" applyAlignment="1">
      <alignment horizontal="center"/>
    </xf>
    <xf numFmtId="14" fontId="0" fillId="0" borderId="16" xfId="0" applyNumberFormat="1" applyFont="1" applyBorder="1" applyAlignment="1">
      <alignment horizontal="left"/>
    </xf>
    <xf numFmtId="14" fontId="0" fillId="0" borderId="4" xfId="0" applyNumberFormat="1" applyFont="1" applyBorder="1" applyAlignment="1">
      <alignment horizontal="left"/>
    </xf>
    <xf numFmtId="14" fontId="0" fillId="0" borderId="16" xfId="0" applyNumberFormat="1" applyFont="1" applyBorder="1" applyAlignment="1">
      <alignment horizontal="center"/>
    </xf>
    <xf numFmtId="14" fontId="0" fillId="0" borderId="11" xfId="0" applyNumberFormat="1" applyFont="1" applyBorder="1" applyAlignment="1">
      <alignment horizontal="center"/>
    </xf>
    <xf numFmtId="165" fontId="25" fillId="15" borderId="3" xfId="32" applyNumberFormat="1" applyFont="1" applyFill="1" applyBorder="1" applyAlignment="1">
      <alignment vertical="center" wrapText="1"/>
    </xf>
    <xf numFmtId="165" fontId="25" fillId="15" borderId="17" xfId="32" applyNumberFormat="1" applyFont="1" applyFill="1" applyBorder="1" applyAlignment="1">
      <alignment vertical="center" wrapText="1"/>
    </xf>
    <xf numFmtId="0" fontId="68" fillId="14" borderId="71" xfId="0" applyFont="1" applyFill="1" applyBorder="1" applyAlignment="1">
      <alignment horizontal="center" vertical="center"/>
    </xf>
    <xf numFmtId="0" fontId="68" fillId="14" borderId="51" xfId="0" applyFont="1" applyFill="1" applyBorder="1" applyAlignment="1">
      <alignment horizontal="center" vertical="center"/>
    </xf>
    <xf numFmtId="0" fontId="68" fillId="14" borderId="0" xfId="0" applyFont="1" applyFill="1" applyBorder="1" applyAlignment="1">
      <alignment horizontal="center" vertical="center"/>
    </xf>
    <xf numFmtId="0" fontId="68" fillId="14" borderId="14" xfId="0" applyFont="1" applyFill="1" applyBorder="1" applyAlignment="1">
      <alignment horizontal="center" vertical="center"/>
    </xf>
    <xf numFmtId="0" fontId="10" fillId="15" borderId="51" xfId="0" applyFont="1" applyFill="1" applyBorder="1" applyAlignment="1">
      <alignment horizontal="center" vertical="center"/>
    </xf>
    <xf numFmtId="0" fontId="10" fillId="15" borderId="0" xfId="0" applyFont="1" applyFill="1" applyBorder="1" applyAlignment="1">
      <alignment horizontal="center" vertical="center"/>
    </xf>
    <xf numFmtId="0" fontId="10" fillId="15" borderId="14" xfId="0" applyFont="1" applyFill="1" applyBorder="1" applyAlignment="1">
      <alignment horizontal="center" vertical="center"/>
    </xf>
    <xf numFmtId="0" fontId="16" fillId="0" borderId="51"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6" fillId="0" borderId="14" xfId="0" applyFont="1" applyFill="1" applyBorder="1" applyAlignment="1">
      <alignment horizontal="center" vertical="center" wrapText="1"/>
    </xf>
    <xf numFmtId="0" fontId="69" fillId="14" borderId="63" xfId="0" applyFont="1" applyFill="1" applyBorder="1" applyAlignment="1">
      <alignment horizontal="center" vertical="center" wrapText="1"/>
    </xf>
    <xf numFmtId="0" fontId="69" fillId="14" borderId="6" xfId="0" applyFont="1" applyFill="1" applyBorder="1" applyAlignment="1">
      <alignment horizontal="center" vertical="center" wrapText="1"/>
    </xf>
    <xf numFmtId="0" fontId="69" fillId="14" borderId="15" xfId="0" applyFont="1" applyFill="1" applyBorder="1" applyAlignment="1">
      <alignment horizontal="center" vertical="center" wrapText="1"/>
    </xf>
    <xf numFmtId="0" fontId="10" fillId="5" borderId="0" xfId="0" applyFont="1" applyFill="1" applyBorder="1" applyAlignment="1">
      <alignment horizontal="center"/>
    </xf>
    <xf numFmtId="0" fontId="11" fillId="7" borderId="5" xfId="0" applyFont="1" applyFill="1" applyBorder="1" applyAlignment="1">
      <alignment horizontal="center" wrapText="1"/>
    </xf>
    <xf numFmtId="0" fontId="11" fillId="7" borderId="6" xfId="0" applyFont="1" applyFill="1" applyBorder="1" applyAlignment="1">
      <alignment horizontal="center" wrapText="1"/>
    </xf>
    <xf numFmtId="0" fontId="11" fillId="0" borderId="1" xfId="0" applyFont="1" applyBorder="1" applyAlignment="1">
      <alignment horizontal="center" wrapText="1"/>
    </xf>
    <xf numFmtId="0" fontId="11" fillId="4" borderId="3" xfId="0" applyFont="1" applyFill="1" applyBorder="1" applyAlignment="1">
      <alignment horizontal="right" wrapText="1"/>
    </xf>
    <xf numFmtId="0" fontId="11" fillId="4" borderId="4" xfId="0" applyFont="1" applyFill="1" applyBorder="1" applyAlignment="1">
      <alignment horizontal="right" wrapText="1"/>
    </xf>
    <xf numFmtId="0" fontId="11" fillId="2" borderId="3" xfId="0" applyFont="1" applyFill="1" applyBorder="1" applyAlignment="1">
      <alignment horizontal="center" wrapText="1"/>
    </xf>
    <xf numFmtId="0" fontId="11" fillId="2" borderId="4" xfId="0" applyFont="1" applyFill="1" applyBorder="1" applyAlignment="1">
      <alignment horizontal="center" wrapText="1"/>
    </xf>
    <xf numFmtId="0" fontId="11" fillId="2" borderId="11" xfId="0" applyFont="1" applyFill="1" applyBorder="1" applyAlignment="1">
      <alignment horizontal="center" wrapText="1"/>
    </xf>
    <xf numFmtId="0" fontId="18" fillId="0" borderId="7" xfId="0" applyFont="1" applyBorder="1" applyAlignment="1">
      <alignment horizontal="center" vertical="center" wrapText="1"/>
    </xf>
    <xf numFmtId="0" fontId="18" fillId="0" borderId="8" xfId="0" applyFont="1" applyBorder="1" applyAlignment="1">
      <alignment horizontal="center" vertical="center"/>
    </xf>
    <xf numFmtId="0" fontId="18" fillId="0" borderId="2" xfId="0" applyFont="1" applyBorder="1" applyAlignment="1">
      <alignment horizontal="center" vertical="center"/>
    </xf>
  </cellXfs>
  <cellStyles count="48">
    <cellStyle name="Currency 2" xfId="4" xr:uid="{00000000-0005-0000-0000-000000000000}"/>
    <cellStyle name="Hyperlink" xfId="47" builtinId="8"/>
    <cellStyle name="Hyperlink 2" xfId="6" xr:uid="{00000000-0005-0000-0000-000002000000}"/>
    <cellStyle name="Hyperlink 2 2" xfId="21" xr:uid="{00000000-0005-0000-0000-000003000000}"/>
    <cellStyle name="Hyperlink 2 3" xfId="38" xr:uid="{00000000-0005-0000-0000-000004000000}"/>
    <cellStyle name="Hyperlink 3" xfId="7" xr:uid="{00000000-0005-0000-0000-000005000000}"/>
    <cellStyle name="Hyperlink 3 2" xfId="22" xr:uid="{00000000-0005-0000-0000-000006000000}"/>
    <cellStyle name="Hyperlink 3 3" xfId="39" xr:uid="{00000000-0005-0000-0000-000007000000}"/>
    <cellStyle name="Normal" xfId="0" builtinId="0"/>
    <cellStyle name="Normal 10" xfId="16" xr:uid="{00000000-0005-0000-0000-000009000000}"/>
    <cellStyle name="Normal 11" xfId="17" xr:uid="{00000000-0005-0000-0000-00000A000000}"/>
    <cellStyle name="Normal 12" xfId="18" xr:uid="{00000000-0005-0000-0000-00000B000000}"/>
    <cellStyle name="Normal 13" xfId="30" xr:uid="{00000000-0005-0000-0000-00000C000000}"/>
    <cellStyle name="Normal 14" xfId="32" xr:uid="{00000000-0005-0000-0000-00000D000000}"/>
    <cellStyle name="Normal 15" xfId="31" xr:uid="{00000000-0005-0000-0000-00000E000000}"/>
    <cellStyle name="Normal 16" xfId="34" xr:uid="{00000000-0005-0000-0000-00000F000000}"/>
    <cellStyle name="Normal 17" xfId="37" xr:uid="{00000000-0005-0000-0000-000010000000}"/>
    <cellStyle name="Normal 18" xfId="33" xr:uid="{00000000-0005-0000-0000-000011000000}"/>
    <cellStyle name="Normal 2" xfId="2" xr:uid="{00000000-0005-0000-0000-000012000000}"/>
    <cellStyle name="Normal 2 2" xfId="3" xr:uid="{00000000-0005-0000-0000-000013000000}"/>
    <cellStyle name="Normal 2 2 2" xfId="20" xr:uid="{00000000-0005-0000-0000-000014000000}"/>
    <cellStyle name="Normal 2 2 3" xfId="36" xr:uid="{00000000-0005-0000-0000-000015000000}"/>
    <cellStyle name="Normal 2 3" xfId="19" xr:uid="{00000000-0005-0000-0000-000016000000}"/>
    <cellStyle name="Normal 2 4" xfId="35" xr:uid="{00000000-0005-0000-0000-000017000000}"/>
    <cellStyle name="Normal 3" xfId="8" xr:uid="{00000000-0005-0000-0000-000018000000}"/>
    <cellStyle name="Normal 3 2" xfId="23" xr:uid="{00000000-0005-0000-0000-000019000000}"/>
    <cellStyle name="Normal 3 3" xfId="40" xr:uid="{00000000-0005-0000-0000-00001A000000}"/>
    <cellStyle name="Normal 4" xfId="9" xr:uid="{00000000-0005-0000-0000-00001B000000}"/>
    <cellStyle name="Normal 4 2" xfId="24" xr:uid="{00000000-0005-0000-0000-00001C000000}"/>
    <cellStyle name="Normal 4 3" xfId="41" xr:uid="{00000000-0005-0000-0000-00001D000000}"/>
    <cellStyle name="Normal 5" xfId="10" xr:uid="{00000000-0005-0000-0000-00001E000000}"/>
    <cellStyle name="Normal 5 2" xfId="11" xr:uid="{00000000-0005-0000-0000-00001F000000}"/>
    <cellStyle name="Normal 5 2 2" xfId="26" xr:uid="{00000000-0005-0000-0000-000020000000}"/>
    <cellStyle name="Normal 5 2 3" xfId="43" xr:uid="{00000000-0005-0000-0000-000021000000}"/>
    <cellStyle name="Normal 5 3" xfId="25" xr:uid="{00000000-0005-0000-0000-000022000000}"/>
    <cellStyle name="Normal 5 4" xfId="42" xr:uid="{00000000-0005-0000-0000-000023000000}"/>
    <cellStyle name="Normal 6" xfId="12" xr:uid="{00000000-0005-0000-0000-000024000000}"/>
    <cellStyle name="Normal 6 2" xfId="13" xr:uid="{00000000-0005-0000-0000-000025000000}"/>
    <cellStyle name="Normal 6 2 2" xfId="28" xr:uid="{00000000-0005-0000-0000-000026000000}"/>
    <cellStyle name="Normal 6 2 3" xfId="45" xr:uid="{00000000-0005-0000-0000-000027000000}"/>
    <cellStyle name="Normal 6 3" xfId="27" xr:uid="{00000000-0005-0000-0000-000028000000}"/>
    <cellStyle name="Normal 6 4" xfId="44" xr:uid="{00000000-0005-0000-0000-000029000000}"/>
    <cellStyle name="Normal 7" xfId="14" xr:uid="{00000000-0005-0000-0000-00002A000000}"/>
    <cellStyle name="Normal 7 2" xfId="29" xr:uid="{00000000-0005-0000-0000-00002B000000}"/>
    <cellStyle name="Normal 7 3" xfId="46" xr:uid="{00000000-0005-0000-0000-00002C000000}"/>
    <cellStyle name="Normal 8" xfId="1" xr:uid="{00000000-0005-0000-0000-00002D000000}"/>
    <cellStyle name="Normal 9" xfId="15" xr:uid="{00000000-0005-0000-0000-00002E000000}"/>
    <cellStyle name="Percent 2" xfId="5" xr:uid="{00000000-0005-0000-0000-00002F000000}"/>
  </cellStyles>
  <dxfs count="46">
    <dxf>
      <fill>
        <patternFill>
          <bgColor theme="2" tint="-9.9948118533890809E-2"/>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val="0"/>
        <i val="0"/>
        <color rgb="FFFF0000"/>
      </font>
    </dxf>
    <dxf>
      <font>
        <b val="0"/>
        <i val="0"/>
        <color rgb="FFFF0000"/>
      </font>
    </dxf>
    <dxf>
      <font>
        <b/>
        <i val="0"/>
        <color rgb="FFFF0000"/>
      </font>
    </dxf>
    <dxf>
      <font>
        <b/>
        <i val="0"/>
        <color rgb="FFFF0000"/>
      </font>
    </dxf>
    <dxf>
      <font>
        <b/>
        <i val="0"/>
        <color rgb="FFFF0000"/>
      </font>
    </dxf>
    <dxf>
      <font>
        <color theme="0" tint="-0.499984740745262"/>
      </font>
      <fill>
        <patternFill>
          <bgColor theme="0" tint="-0.14996795556505021"/>
        </patternFill>
      </fill>
    </dxf>
    <dxf>
      <font>
        <color theme="0" tint="-0.499984740745262"/>
      </font>
      <fill>
        <patternFill>
          <bgColor theme="0" tint="-0.14996795556505021"/>
        </patternFill>
      </fill>
    </dxf>
    <dxf>
      <font>
        <color rgb="FFFF0000"/>
      </font>
    </dxf>
    <dxf>
      <fill>
        <patternFill>
          <bgColor rgb="FFFFFFCC"/>
        </patternFill>
      </fill>
    </dxf>
    <dxf>
      <fill>
        <patternFill>
          <bgColor rgb="FFFFFFCC"/>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b/>
        <i val="0"/>
        <color rgb="FFFF0000"/>
      </font>
    </dxf>
    <dxf>
      <font>
        <b/>
        <i val="0"/>
        <color rgb="FFFF0000"/>
      </font>
    </dxf>
    <dxf>
      <font>
        <color theme="0" tint="-0.14996795556505021"/>
      </font>
      <fill>
        <patternFill>
          <bgColor theme="0" tint="-0.14996795556505021"/>
        </patternFill>
      </fill>
    </dxf>
    <dxf>
      <font>
        <b/>
        <i val="0"/>
        <color rgb="FFFF0000"/>
      </font>
    </dxf>
    <dxf>
      <font>
        <b/>
        <i val="0"/>
        <color rgb="FFFF0000"/>
      </font>
    </dxf>
    <dxf>
      <font>
        <color rgb="FFFF0000"/>
      </font>
      <fill>
        <patternFill>
          <bgColor theme="5" tint="0.79998168889431442"/>
        </patternFill>
      </fill>
    </dxf>
    <dxf>
      <fill>
        <patternFill>
          <bgColor rgb="FFFFFFCC"/>
        </patternFill>
      </fill>
    </dxf>
    <dxf>
      <font>
        <color theme="0" tint="-0.24994659260841701"/>
      </font>
    </dxf>
    <dxf>
      <font>
        <color theme="0"/>
      </font>
      <fill>
        <patternFill patternType="none">
          <bgColor auto="1"/>
        </patternFill>
      </fill>
    </dxf>
    <dxf>
      <font>
        <color theme="0"/>
      </font>
      <fill>
        <patternFill patternType="none">
          <bgColor auto="1"/>
        </patternFill>
      </fill>
    </dxf>
    <dxf>
      <font>
        <color rgb="FFFF0000"/>
      </font>
      <fill>
        <patternFill>
          <bgColor theme="5" tint="0.79998168889431442"/>
        </patternFill>
      </fill>
    </dxf>
    <dxf>
      <fill>
        <patternFill>
          <bgColor rgb="FFFFFFCC"/>
        </patternFill>
      </fill>
    </dxf>
    <dxf>
      <fill>
        <patternFill>
          <bgColor rgb="FFFFFFCC"/>
        </patternFill>
      </fill>
    </dxf>
    <dxf>
      <font>
        <color theme="0" tint="-0.34998626667073579"/>
      </font>
      <fill>
        <patternFill patternType="none">
          <bgColor auto="1"/>
        </patternFill>
      </fill>
    </dxf>
  </dxfs>
  <tableStyles count="0" defaultTableStyle="TableStyleMedium2" defaultPivotStyle="PivotStyleLight16"/>
  <colors>
    <mruColors>
      <color rgb="FFFFFFCC"/>
      <color rgb="FF00CC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jpeg"/><Relationship Id="rId1" Type="http://schemas.openxmlformats.org/officeDocument/2006/relationships/image" Target="../media/image5.jpe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4</xdr:col>
      <xdr:colOff>43542</xdr:colOff>
      <xdr:row>21</xdr:row>
      <xdr:rowOff>51459</xdr:rowOff>
    </xdr:from>
    <xdr:to>
      <xdr:col>56</xdr:col>
      <xdr:colOff>46143</xdr:colOff>
      <xdr:row>40</xdr:row>
      <xdr:rowOff>55418</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848597" y="2379023"/>
          <a:ext cx="5766092" cy="2109850"/>
        </a:xfrm>
        <a:prstGeom prst="rect">
          <a:avLst/>
        </a:prstGeom>
      </xdr:spPr>
    </xdr:pic>
    <xdr:clientData/>
  </xdr:twoCellAnchor>
  <xdr:twoCellAnchor editAs="oneCell">
    <xdr:from>
      <xdr:col>9</xdr:col>
      <xdr:colOff>60960</xdr:colOff>
      <xdr:row>3</xdr:row>
      <xdr:rowOff>68580</xdr:rowOff>
    </xdr:from>
    <xdr:to>
      <xdr:col>35</xdr:col>
      <xdr:colOff>62081</xdr:colOff>
      <xdr:row>14</xdr:row>
      <xdr:rowOff>33974</xdr:rowOff>
    </xdr:to>
    <xdr:pic>
      <xdr:nvPicPr>
        <xdr:cNvPr id="4" name="Picture 3" descr="http://visualmotives.com/09-1296-current/Contents/FHWA%20Logo/FHWA%20horizintal600.jp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6454140" y="411480"/>
          <a:ext cx="2972921" cy="1222694"/>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53340</xdr:colOff>
      <xdr:row>0</xdr:row>
      <xdr:rowOff>30481</xdr:rowOff>
    </xdr:from>
    <xdr:to>
      <xdr:col>40</xdr:col>
      <xdr:colOff>60960</xdr:colOff>
      <xdr:row>9</xdr:row>
      <xdr:rowOff>29213</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3560" y="30481"/>
          <a:ext cx="2750820" cy="109601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388620</xdr:colOff>
          <xdr:row>11</xdr:row>
          <xdr:rowOff>205740</xdr:rowOff>
        </xdr:from>
        <xdr:to>
          <xdr:col>10</xdr:col>
          <xdr:colOff>464820</xdr:colOff>
          <xdr:row>13</xdr:row>
          <xdr:rowOff>99060</xdr:rowOff>
        </xdr:to>
        <xdr:sp macro="" textlink="">
          <xdr:nvSpPr>
            <xdr:cNvPr id="1026" name="ResetToolButton"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320041</xdr:colOff>
      <xdr:row>17</xdr:row>
      <xdr:rowOff>166582</xdr:rowOff>
    </xdr:from>
    <xdr:to>
      <xdr:col>10</xdr:col>
      <xdr:colOff>8039</xdr:colOff>
      <xdr:row>25</xdr:row>
      <xdr:rowOff>152400</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92581" y="5241502"/>
          <a:ext cx="3955198" cy="144885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106680</xdr:colOff>
          <xdr:row>11</xdr:row>
          <xdr:rowOff>198120</xdr:rowOff>
        </xdr:from>
        <xdr:to>
          <xdr:col>7</xdr:col>
          <xdr:colOff>281940</xdr:colOff>
          <xdr:row>13</xdr:row>
          <xdr:rowOff>91440</xdr:rowOff>
        </xdr:to>
        <xdr:sp macro="" textlink="">
          <xdr:nvSpPr>
            <xdr:cNvPr id="1027" name="LoadCapXButton1"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22860</xdr:colOff>
          <xdr:row>15</xdr:row>
          <xdr:rowOff>30480</xdr:rowOff>
        </xdr:from>
        <xdr:to>
          <xdr:col>0</xdr:col>
          <xdr:colOff>3200400</xdr:colOff>
          <xdr:row>15</xdr:row>
          <xdr:rowOff>480060</xdr:rowOff>
        </xdr:to>
        <xdr:sp macro="" textlink="">
          <xdr:nvSpPr>
            <xdr:cNvPr id="8213" name="Button 21" hidden="1">
              <a:extLst>
                <a:ext uri="{63B3BB69-23CF-44E3-9099-C40C66FF867C}">
                  <a14:compatExt spid="_x0000_s8213"/>
                </a:ext>
                <a:ext uri="{FF2B5EF4-FFF2-40B4-BE49-F238E27FC236}">
                  <a16:creationId xmlns:a16="http://schemas.microsoft.com/office/drawing/2014/main" id="{00000000-0008-0000-0500-0000152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rPr>
                <a:t>Reset Planning Inputs to Defaults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14</xdr:col>
      <xdr:colOff>570808</xdr:colOff>
      <xdr:row>1</xdr:row>
      <xdr:rowOff>152400</xdr:rowOff>
    </xdr:from>
    <xdr:to>
      <xdr:col>24</xdr:col>
      <xdr:colOff>418408</xdr:colOff>
      <xdr:row>9</xdr:row>
      <xdr:rowOff>42545</xdr:rowOff>
    </xdr:to>
    <xdr:grpSp>
      <xdr:nvGrpSpPr>
        <xdr:cNvPr id="2" name="Group 1">
          <a:extLst>
            <a:ext uri="{FF2B5EF4-FFF2-40B4-BE49-F238E27FC236}">
              <a16:creationId xmlns:a16="http://schemas.microsoft.com/office/drawing/2014/main" id="{00000000-0008-0000-0700-000002000000}"/>
            </a:ext>
          </a:extLst>
        </xdr:cNvPr>
        <xdr:cNvGrpSpPr/>
      </xdr:nvGrpSpPr>
      <xdr:grpSpPr>
        <a:xfrm>
          <a:off x="15284335" y="387927"/>
          <a:ext cx="5943600" cy="1344873"/>
          <a:chOff x="11041380" y="419100"/>
          <a:chExt cx="5943600" cy="1360805"/>
        </a:xfrm>
      </xdr:grpSpPr>
      <xdr:pic>
        <xdr:nvPicPr>
          <xdr:cNvPr id="3" name="Picture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stretch>
            <a:fillRect/>
          </a:stretch>
        </xdr:blipFill>
        <xdr:spPr>
          <a:xfrm>
            <a:off x="11041380" y="1333500"/>
            <a:ext cx="5943600" cy="446405"/>
          </a:xfrm>
          <a:prstGeom prst="rect">
            <a:avLst/>
          </a:prstGeom>
        </xdr:spPr>
      </xdr:pic>
      <xdr:pic>
        <xdr:nvPicPr>
          <xdr:cNvPr id="4" name="Picture 3">
            <a:extLst>
              <a:ext uri="{FF2B5EF4-FFF2-40B4-BE49-F238E27FC236}">
                <a16:creationId xmlns:a16="http://schemas.microsoft.com/office/drawing/2014/main" id="{00000000-0008-0000-0700-000004000000}"/>
              </a:ext>
            </a:extLst>
          </xdr:cNvPr>
          <xdr:cNvPicPr/>
        </xdr:nvPicPr>
        <xdr:blipFill>
          <a:blip xmlns:r="http://schemas.openxmlformats.org/officeDocument/2006/relationships" r:embed="rId2"/>
          <a:stretch>
            <a:fillRect/>
          </a:stretch>
        </xdr:blipFill>
        <xdr:spPr>
          <a:xfrm>
            <a:off x="11041380" y="419100"/>
            <a:ext cx="5943600" cy="734060"/>
          </a:xfrm>
          <a:prstGeom prst="rect">
            <a:avLst/>
          </a:prstGeom>
        </xdr:spPr>
      </xdr:pic>
    </xdr:grpSp>
    <xdr:clientData/>
  </xdr:twoCellAnchor>
  <xdr:twoCellAnchor editAs="oneCell">
    <xdr:from>
      <xdr:col>11</xdr:col>
      <xdr:colOff>444732</xdr:colOff>
      <xdr:row>16</xdr:row>
      <xdr:rowOff>112913</xdr:rowOff>
    </xdr:from>
    <xdr:to>
      <xdr:col>16</xdr:col>
      <xdr:colOff>598575</xdr:colOff>
      <xdr:row>28</xdr:row>
      <xdr:rowOff>135311</xdr:rowOff>
    </xdr:to>
    <xdr:pic>
      <xdr:nvPicPr>
        <xdr:cNvPr id="5" name="Picture 4">
          <a:extLst>
            <a:ext uri="{FF2B5EF4-FFF2-40B4-BE49-F238E27FC236}">
              <a16:creationId xmlns:a16="http://schemas.microsoft.com/office/drawing/2014/main" id="{00000000-0008-0000-0700-000005000000}"/>
            </a:ext>
          </a:extLst>
        </xdr:cNvPr>
        <xdr:cNvPicPr/>
      </xdr:nvPicPr>
      <xdr:blipFill>
        <a:blip xmlns:r="http://schemas.openxmlformats.org/officeDocument/2006/relationships" r:embed="rId3"/>
        <a:stretch>
          <a:fillRect/>
        </a:stretch>
      </xdr:blipFill>
      <xdr:spPr>
        <a:xfrm>
          <a:off x="13314912" y="3092333"/>
          <a:ext cx="3201843" cy="2986578"/>
        </a:xfrm>
        <a:prstGeom prst="rect">
          <a:avLst/>
        </a:prstGeom>
      </xdr:spPr>
    </xdr:pic>
    <xdr:clientData/>
  </xdr:twoCellAnchor>
  <xdr:twoCellAnchor>
    <xdr:from>
      <xdr:col>0</xdr:col>
      <xdr:colOff>215677</xdr:colOff>
      <xdr:row>9</xdr:row>
      <xdr:rowOff>150893</xdr:rowOff>
    </xdr:from>
    <xdr:to>
      <xdr:col>3</xdr:col>
      <xdr:colOff>848141</xdr:colOff>
      <xdr:row>11</xdr:row>
      <xdr:rowOff>52142</xdr:rowOff>
    </xdr:to>
    <xdr:pic>
      <xdr:nvPicPr>
        <xdr:cNvPr id="6" name="Picture 5">
          <a:extLst>
            <a:ext uri="{FF2B5EF4-FFF2-40B4-BE49-F238E27FC236}">
              <a16:creationId xmlns:a16="http://schemas.microsoft.com/office/drawing/2014/main" id="{00000000-0008-0000-0700-000006000000}"/>
            </a:ext>
          </a:extLst>
        </xdr:cNvPr>
        <xdr:cNvPicPr/>
      </xdr:nvPicPr>
      <xdr:blipFill rotWithShape="1">
        <a:blip xmlns:r="http://schemas.openxmlformats.org/officeDocument/2006/relationships" r:embed="rId4"/>
        <a:srcRect b="71043"/>
        <a:stretch/>
      </xdr:blipFill>
      <xdr:spPr bwMode="auto">
        <a:xfrm>
          <a:off x="215677" y="1850153"/>
          <a:ext cx="5943604" cy="267009"/>
        </a:xfrm>
        <a:prstGeom prst="rect">
          <a:avLst/>
        </a:prstGeom>
        <a:ln>
          <a:noFill/>
        </a:ln>
        <a:extLst>
          <a:ext uri="{53640926-AAD7-44D8-BBD7-CCE9431645EC}">
            <a14:shadowObscured xmlns:a14="http://schemas.microsoft.com/office/drawing/2010/main"/>
          </a:ext>
        </a:extLst>
      </xdr:spPr>
    </xdr:pic>
    <xdr:clientData/>
  </xdr:twoCellAnchor>
  <xdr:twoCellAnchor>
    <xdr:from>
      <xdr:col>7</xdr:col>
      <xdr:colOff>50366</xdr:colOff>
      <xdr:row>31</xdr:row>
      <xdr:rowOff>322312</xdr:rowOff>
    </xdr:from>
    <xdr:to>
      <xdr:col>16</xdr:col>
      <xdr:colOff>502028</xdr:colOff>
      <xdr:row>33</xdr:row>
      <xdr:rowOff>51170</xdr:rowOff>
    </xdr:to>
    <xdr:pic>
      <xdr:nvPicPr>
        <xdr:cNvPr id="7" name="Picture 6">
          <a:extLst>
            <a:ext uri="{FF2B5EF4-FFF2-40B4-BE49-F238E27FC236}">
              <a16:creationId xmlns:a16="http://schemas.microsoft.com/office/drawing/2014/main" id="{00000000-0008-0000-0700-000007000000}"/>
            </a:ext>
          </a:extLst>
        </xdr:cNvPr>
        <xdr:cNvPicPr/>
      </xdr:nvPicPr>
      <xdr:blipFill rotWithShape="1">
        <a:blip xmlns:r="http://schemas.openxmlformats.org/officeDocument/2006/relationships" r:embed="rId4"/>
        <a:srcRect l="-816" t="69084" r="816" b="1959"/>
        <a:stretch/>
      </xdr:blipFill>
      <xdr:spPr bwMode="auto">
        <a:xfrm>
          <a:off x="10482146" y="7843252"/>
          <a:ext cx="5938062" cy="262258"/>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83820</xdr:colOff>
          <xdr:row>3</xdr:row>
          <xdr:rowOff>160020</xdr:rowOff>
        </xdr:from>
        <xdr:to>
          <xdr:col>13</xdr:col>
          <xdr:colOff>510540</xdr:colOff>
          <xdr:row>5</xdr:row>
          <xdr:rowOff>297180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900-0000011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rPr>
                <a:t>Reset to Default Values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228600</xdr:colOff>
          <xdr:row>5</xdr:row>
          <xdr:rowOff>60960</xdr:rowOff>
        </xdr:from>
        <xdr:to>
          <xdr:col>12</xdr:col>
          <xdr:colOff>525780</xdr:colOff>
          <xdr:row>9</xdr:row>
          <xdr:rowOff>152400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0A00-0000072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0" i="0" u="none" strike="noStrike" baseline="0">
                  <a:solidFill>
                    <a:srgbClr val="000000"/>
                  </a:solidFill>
                  <a:latin typeface="Arial"/>
                  <a:cs typeface="Arial"/>
                </a:rPr>
                <a:t>Compute/Update Results</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198120</xdr:colOff>
          <xdr:row>4</xdr:row>
          <xdr:rowOff>182880</xdr:rowOff>
        </xdr:from>
        <xdr:to>
          <xdr:col>11</xdr:col>
          <xdr:colOff>571500</xdr:colOff>
          <xdr:row>8</xdr:row>
          <xdr:rowOff>22860</xdr:rowOff>
        </xdr:to>
        <xdr:sp macro="" textlink="">
          <xdr:nvSpPr>
            <xdr:cNvPr id="20482" name="Button 2" hidden="1">
              <a:extLst>
                <a:ext uri="{63B3BB69-23CF-44E3-9099-C40C66FF867C}">
                  <a14:compatExt spid="_x0000_s20482"/>
                </a:ext>
                <a:ext uri="{FF2B5EF4-FFF2-40B4-BE49-F238E27FC236}">
                  <a16:creationId xmlns:a16="http://schemas.microsoft.com/office/drawing/2014/main" id="{00000000-0008-0000-0B00-0000025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rPr>
                <a:t>Compute/Update Results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4.emf"/><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3.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trlProp" Target="../ctrlProps/ctrlProp2.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5" Type="http://schemas.openxmlformats.org/officeDocument/2006/relationships/comments" Target="../comments4.xml"/><Relationship Id="rId4" Type="http://schemas.openxmlformats.org/officeDocument/2006/relationships/ctrlProp" Target="../ctrlProps/ctrlProp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9.bin"/><Relationship Id="rId5" Type="http://schemas.openxmlformats.org/officeDocument/2006/relationships/comments" Target="../comments5.xml"/><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59999389629810485"/>
    <pageSetUpPr fitToPage="1"/>
  </sheetPr>
  <dimension ref="A1:DT75"/>
  <sheetViews>
    <sheetView showGridLines="0" showRowColHeaders="0" tabSelected="1" zoomScale="85" zoomScaleNormal="85" workbookViewId="0">
      <selection activeCell="BM21" sqref="BM21:DP35"/>
    </sheetView>
  </sheetViews>
  <sheetFormatPr defaultColWidth="0" defaultRowHeight="14.4" zeroHeight="1" x14ac:dyDescent="0.3"/>
  <cols>
    <col min="1" max="1" width="0.6640625" customWidth="1"/>
    <col min="2" max="61" width="1.6640625" customWidth="1"/>
    <col min="62" max="63" width="0.5546875" customWidth="1"/>
    <col min="64" max="123" width="1.6640625" customWidth="1"/>
    <col min="124" max="124" width="0.5546875" customWidth="1"/>
    <col min="125" max="16384" width="8.88671875" hidden="1"/>
  </cols>
  <sheetData>
    <row r="1" spans="1:123" ht="9.4499999999999993" customHeight="1" x14ac:dyDescent="0.3">
      <c r="A1" s="217"/>
      <c r="B1" s="219"/>
      <c r="C1" s="220"/>
      <c r="D1" s="221"/>
      <c r="E1" s="221"/>
      <c r="F1" s="221"/>
      <c r="G1" s="221"/>
      <c r="H1" s="221"/>
      <c r="I1" s="221"/>
      <c r="J1" s="221"/>
      <c r="K1" s="221"/>
      <c r="L1" s="221"/>
      <c r="M1" s="221"/>
      <c r="N1" s="221"/>
      <c r="O1" s="221"/>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8"/>
      <c r="BL1" s="224"/>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8"/>
    </row>
    <row r="2" spans="1:123" ht="9.4499999999999993" customHeight="1" x14ac:dyDescent="0.3">
      <c r="A2" s="217"/>
      <c r="B2" s="222"/>
      <c r="C2" s="217"/>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192"/>
      <c r="BL2" s="191"/>
      <c r="BM2" s="368" t="s">
        <v>1</v>
      </c>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c r="DB2" s="368"/>
      <c r="DC2" s="368"/>
      <c r="DD2" s="368"/>
      <c r="DE2" s="368"/>
      <c r="DF2" s="368"/>
      <c r="DG2" s="368"/>
      <c r="DH2" s="368"/>
      <c r="DI2" s="368"/>
      <c r="DJ2" s="368"/>
      <c r="DK2" s="368"/>
      <c r="DL2" s="368"/>
      <c r="DM2" s="368"/>
      <c r="DN2" s="368"/>
      <c r="DO2" s="368"/>
      <c r="DP2" s="368"/>
      <c r="DQ2" s="2"/>
      <c r="DR2" s="2"/>
      <c r="DS2" s="192"/>
    </row>
    <row r="3" spans="1:123" ht="9.4499999999999993" customHeight="1" x14ac:dyDescent="0.3">
      <c r="A3" s="218"/>
      <c r="B3" s="223"/>
      <c r="C3" s="218"/>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192"/>
      <c r="BL3" s="191"/>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c r="DB3" s="368"/>
      <c r="DC3" s="368"/>
      <c r="DD3" s="368"/>
      <c r="DE3" s="368"/>
      <c r="DF3" s="368"/>
      <c r="DG3" s="368"/>
      <c r="DH3" s="368"/>
      <c r="DI3" s="368"/>
      <c r="DJ3" s="368"/>
      <c r="DK3" s="368"/>
      <c r="DL3" s="368"/>
      <c r="DM3" s="368"/>
      <c r="DN3" s="368"/>
      <c r="DO3" s="368"/>
      <c r="DP3" s="368"/>
      <c r="DQ3" s="2"/>
      <c r="DR3" s="2"/>
      <c r="DS3" s="192"/>
    </row>
    <row r="4" spans="1:123" ht="9.4499999999999993" customHeight="1" x14ac:dyDescent="0.3">
      <c r="A4" s="172"/>
      <c r="B4" s="191"/>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192"/>
      <c r="BL4" s="191"/>
      <c r="BM4" s="365" t="s">
        <v>445</v>
      </c>
      <c r="BN4" s="365"/>
      <c r="BO4" s="365"/>
      <c r="BP4" s="365"/>
      <c r="BQ4" s="365"/>
      <c r="BR4" s="365"/>
      <c r="BS4" s="365"/>
      <c r="BT4" s="365"/>
      <c r="BU4" s="365"/>
      <c r="BV4" s="365"/>
      <c r="BW4" s="365"/>
      <c r="BX4" s="365"/>
      <c r="BY4" s="365"/>
      <c r="BZ4" s="365"/>
      <c r="CA4" s="365"/>
      <c r="CB4" s="365"/>
      <c r="CC4" s="365"/>
      <c r="CD4" s="365"/>
      <c r="CE4" s="365"/>
      <c r="CF4" s="365"/>
      <c r="CG4" s="365"/>
      <c r="CH4" s="365"/>
      <c r="CI4" s="365"/>
      <c r="CJ4" s="365"/>
      <c r="CK4" s="365"/>
      <c r="CL4" s="365"/>
      <c r="CM4" s="365"/>
      <c r="CN4" s="365"/>
      <c r="CO4" s="365"/>
      <c r="CP4" s="365"/>
      <c r="CQ4" s="365"/>
      <c r="CR4" s="365"/>
      <c r="CS4" s="365"/>
      <c r="CT4" s="365"/>
      <c r="CU4" s="365"/>
      <c r="CV4" s="365"/>
      <c r="CW4" s="365"/>
      <c r="CX4" s="365"/>
      <c r="CY4" s="365"/>
      <c r="CZ4" s="365"/>
      <c r="DA4" s="365"/>
      <c r="DB4" s="365"/>
      <c r="DC4" s="365"/>
      <c r="DD4" s="365"/>
      <c r="DE4" s="365"/>
      <c r="DF4" s="365"/>
      <c r="DG4" s="365"/>
      <c r="DH4" s="365"/>
      <c r="DI4" s="365"/>
      <c r="DJ4" s="365"/>
      <c r="DK4" s="365"/>
      <c r="DL4" s="365"/>
      <c r="DM4" s="365"/>
      <c r="DN4" s="365"/>
      <c r="DO4" s="365"/>
      <c r="DP4" s="365"/>
      <c r="DQ4" s="2"/>
      <c r="DR4" s="2"/>
      <c r="DS4" s="192"/>
    </row>
    <row r="5" spans="1:123" ht="9.4499999999999993" customHeight="1" x14ac:dyDescent="0.3">
      <c r="B5" s="191"/>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192"/>
      <c r="BL5" s="191"/>
      <c r="BM5" s="365"/>
      <c r="BN5" s="365"/>
      <c r="BO5" s="365"/>
      <c r="BP5" s="365"/>
      <c r="BQ5" s="365"/>
      <c r="BR5" s="365"/>
      <c r="BS5" s="365"/>
      <c r="BT5" s="365"/>
      <c r="BU5" s="365"/>
      <c r="BV5" s="365"/>
      <c r="BW5" s="365"/>
      <c r="BX5" s="365"/>
      <c r="BY5" s="365"/>
      <c r="BZ5" s="365"/>
      <c r="CA5" s="365"/>
      <c r="CB5" s="365"/>
      <c r="CC5" s="365"/>
      <c r="CD5" s="365"/>
      <c r="CE5" s="365"/>
      <c r="CF5" s="365"/>
      <c r="CG5" s="365"/>
      <c r="CH5" s="365"/>
      <c r="CI5" s="365"/>
      <c r="CJ5" s="365"/>
      <c r="CK5" s="365"/>
      <c r="CL5" s="365"/>
      <c r="CM5" s="365"/>
      <c r="CN5" s="365"/>
      <c r="CO5" s="365"/>
      <c r="CP5" s="365"/>
      <c r="CQ5" s="365"/>
      <c r="CR5" s="365"/>
      <c r="CS5" s="365"/>
      <c r="CT5" s="365"/>
      <c r="CU5" s="365"/>
      <c r="CV5" s="365"/>
      <c r="CW5" s="365"/>
      <c r="CX5" s="365"/>
      <c r="CY5" s="365"/>
      <c r="CZ5" s="365"/>
      <c r="DA5" s="365"/>
      <c r="DB5" s="365"/>
      <c r="DC5" s="365"/>
      <c r="DD5" s="365"/>
      <c r="DE5" s="365"/>
      <c r="DF5" s="365"/>
      <c r="DG5" s="365"/>
      <c r="DH5" s="365"/>
      <c r="DI5" s="365"/>
      <c r="DJ5" s="365"/>
      <c r="DK5" s="365"/>
      <c r="DL5" s="365"/>
      <c r="DM5" s="365"/>
      <c r="DN5" s="365"/>
      <c r="DO5" s="365"/>
      <c r="DP5" s="365"/>
      <c r="DQ5" s="2"/>
      <c r="DR5" s="2"/>
      <c r="DS5" s="192"/>
    </row>
    <row r="6" spans="1:123" ht="9.4499999999999993" customHeight="1" x14ac:dyDescent="0.3">
      <c r="B6" s="191"/>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192"/>
      <c r="BL6" s="191"/>
      <c r="BM6" s="365"/>
      <c r="BN6" s="365"/>
      <c r="BO6" s="365"/>
      <c r="BP6" s="365"/>
      <c r="BQ6" s="365"/>
      <c r="BR6" s="365"/>
      <c r="BS6" s="365"/>
      <c r="BT6" s="365"/>
      <c r="BU6" s="365"/>
      <c r="BV6" s="365"/>
      <c r="BW6" s="365"/>
      <c r="BX6" s="365"/>
      <c r="BY6" s="365"/>
      <c r="BZ6" s="365"/>
      <c r="CA6" s="365"/>
      <c r="CB6" s="365"/>
      <c r="CC6" s="365"/>
      <c r="CD6" s="365"/>
      <c r="CE6" s="365"/>
      <c r="CF6" s="365"/>
      <c r="CG6" s="365"/>
      <c r="CH6" s="365"/>
      <c r="CI6" s="365"/>
      <c r="CJ6" s="365"/>
      <c r="CK6" s="365"/>
      <c r="CL6" s="365"/>
      <c r="CM6" s="365"/>
      <c r="CN6" s="365"/>
      <c r="CO6" s="365"/>
      <c r="CP6" s="365"/>
      <c r="CQ6" s="365"/>
      <c r="CR6" s="365"/>
      <c r="CS6" s="365"/>
      <c r="CT6" s="365"/>
      <c r="CU6" s="365"/>
      <c r="CV6" s="365"/>
      <c r="CW6" s="365"/>
      <c r="CX6" s="365"/>
      <c r="CY6" s="365"/>
      <c r="CZ6" s="365"/>
      <c r="DA6" s="365"/>
      <c r="DB6" s="365"/>
      <c r="DC6" s="365"/>
      <c r="DD6" s="365"/>
      <c r="DE6" s="365"/>
      <c r="DF6" s="365"/>
      <c r="DG6" s="365"/>
      <c r="DH6" s="365"/>
      <c r="DI6" s="365"/>
      <c r="DJ6" s="365"/>
      <c r="DK6" s="365"/>
      <c r="DL6" s="365"/>
      <c r="DM6" s="365"/>
      <c r="DN6" s="365"/>
      <c r="DO6" s="365"/>
      <c r="DP6" s="365"/>
      <c r="DQ6" s="2"/>
      <c r="DR6" s="2"/>
      <c r="DS6" s="192"/>
    </row>
    <row r="7" spans="1:123" ht="9.4499999999999993" customHeight="1" x14ac:dyDescent="0.3">
      <c r="B7" s="191"/>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192"/>
      <c r="BL7" s="191"/>
      <c r="BM7" s="365"/>
      <c r="BN7" s="365"/>
      <c r="BO7" s="365"/>
      <c r="BP7" s="365"/>
      <c r="BQ7" s="365"/>
      <c r="BR7" s="365"/>
      <c r="BS7" s="365"/>
      <c r="BT7" s="365"/>
      <c r="BU7" s="365"/>
      <c r="BV7" s="365"/>
      <c r="BW7" s="365"/>
      <c r="BX7" s="365"/>
      <c r="BY7" s="365"/>
      <c r="BZ7" s="365"/>
      <c r="CA7" s="365"/>
      <c r="CB7" s="365"/>
      <c r="CC7" s="365"/>
      <c r="CD7" s="365"/>
      <c r="CE7" s="365"/>
      <c r="CF7" s="365"/>
      <c r="CG7" s="365"/>
      <c r="CH7" s="365"/>
      <c r="CI7" s="365"/>
      <c r="CJ7" s="365"/>
      <c r="CK7" s="365"/>
      <c r="CL7" s="365"/>
      <c r="CM7" s="365"/>
      <c r="CN7" s="365"/>
      <c r="CO7" s="365"/>
      <c r="CP7" s="365"/>
      <c r="CQ7" s="365"/>
      <c r="CR7" s="365"/>
      <c r="CS7" s="365"/>
      <c r="CT7" s="365"/>
      <c r="CU7" s="365"/>
      <c r="CV7" s="365"/>
      <c r="CW7" s="365"/>
      <c r="CX7" s="365"/>
      <c r="CY7" s="365"/>
      <c r="CZ7" s="365"/>
      <c r="DA7" s="365"/>
      <c r="DB7" s="365"/>
      <c r="DC7" s="365"/>
      <c r="DD7" s="365"/>
      <c r="DE7" s="365"/>
      <c r="DF7" s="365"/>
      <c r="DG7" s="365"/>
      <c r="DH7" s="365"/>
      <c r="DI7" s="365"/>
      <c r="DJ7" s="365"/>
      <c r="DK7" s="365"/>
      <c r="DL7" s="365"/>
      <c r="DM7" s="365"/>
      <c r="DN7" s="365"/>
      <c r="DO7" s="365"/>
      <c r="DP7" s="365"/>
      <c r="DQ7" s="2"/>
      <c r="DR7" s="2"/>
      <c r="DS7" s="192"/>
    </row>
    <row r="8" spans="1:123" ht="9.4499999999999993" customHeight="1" x14ac:dyDescent="0.3">
      <c r="B8" s="191"/>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192"/>
      <c r="BL8" s="191"/>
      <c r="BM8" s="365"/>
      <c r="BN8" s="365"/>
      <c r="BO8" s="365"/>
      <c r="BP8" s="365"/>
      <c r="BQ8" s="365"/>
      <c r="BR8" s="365"/>
      <c r="BS8" s="365"/>
      <c r="BT8" s="365"/>
      <c r="BU8" s="365"/>
      <c r="BV8" s="365"/>
      <c r="BW8" s="365"/>
      <c r="BX8" s="365"/>
      <c r="BY8" s="365"/>
      <c r="BZ8" s="365"/>
      <c r="CA8" s="365"/>
      <c r="CB8" s="365"/>
      <c r="CC8" s="365"/>
      <c r="CD8" s="365"/>
      <c r="CE8" s="365"/>
      <c r="CF8" s="365"/>
      <c r="CG8" s="365"/>
      <c r="CH8" s="365"/>
      <c r="CI8" s="365"/>
      <c r="CJ8" s="365"/>
      <c r="CK8" s="365"/>
      <c r="CL8" s="365"/>
      <c r="CM8" s="365"/>
      <c r="CN8" s="365"/>
      <c r="CO8" s="365"/>
      <c r="CP8" s="365"/>
      <c r="CQ8" s="365"/>
      <c r="CR8" s="365"/>
      <c r="CS8" s="365"/>
      <c r="CT8" s="365"/>
      <c r="CU8" s="365"/>
      <c r="CV8" s="365"/>
      <c r="CW8" s="365"/>
      <c r="CX8" s="365"/>
      <c r="CY8" s="365"/>
      <c r="CZ8" s="365"/>
      <c r="DA8" s="365"/>
      <c r="DB8" s="365"/>
      <c r="DC8" s="365"/>
      <c r="DD8" s="365"/>
      <c r="DE8" s="365"/>
      <c r="DF8" s="365"/>
      <c r="DG8" s="365"/>
      <c r="DH8" s="365"/>
      <c r="DI8" s="365"/>
      <c r="DJ8" s="365"/>
      <c r="DK8" s="365"/>
      <c r="DL8" s="365"/>
      <c r="DM8" s="365"/>
      <c r="DN8" s="365"/>
      <c r="DO8" s="365"/>
      <c r="DP8" s="365"/>
      <c r="DQ8" s="2"/>
      <c r="DR8" s="2"/>
      <c r="DS8" s="192"/>
    </row>
    <row r="9" spans="1:123" s="103" customFormat="1" ht="9.4499999999999993" customHeight="1" x14ac:dyDescent="0.3">
      <c r="B9" s="191"/>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192"/>
      <c r="BL9" s="191"/>
      <c r="BM9" s="365"/>
      <c r="BN9" s="365"/>
      <c r="BO9" s="365"/>
      <c r="BP9" s="365"/>
      <c r="BQ9" s="365"/>
      <c r="BR9" s="365"/>
      <c r="BS9" s="365"/>
      <c r="BT9" s="365"/>
      <c r="BU9" s="365"/>
      <c r="BV9" s="365"/>
      <c r="BW9" s="365"/>
      <c r="BX9" s="365"/>
      <c r="BY9" s="365"/>
      <c r="BZ9" s="365"/>
      <c r="CA9" s="365"/>
      <c r="CB9" s="365"/>
      <c r="CC9" s="365"/>
      <c r="CD9" s="365"/>
      <c r="CE9" s="365"/>
      <c r="CF9" s="365"/>
      <c r="CG9" s="365"/>
      <c r="CH9" s="365"/>
      <c r="CI9" s="365"/>
      <c r="CJ9" s="365"/>
      <c r="CK9" s="365"/>
      <c r="CL9" s="365"/>
      <c r="CM9" s="365"/>
      <c r="CN9" s="365"/>
      <c r="CO9" s="365"/>
      <c r="CP9" s="365"/>
      <c r="CQ9" s="365"/>
      <c r="CR9" s="365"/>
      <c r="CS9" s="365"/>
      <c r="CT9" s="365"/>
      <c r="CU9" s="365"/>
      <c r="CV9" s="365"/>
      <c r="CW9" s="365"/>
      <c r="CX9" s="365"/>
      <c r="CY9" s="365"/>
      <c r="CZ9" s="365"/>
      <c r="DA9" s="365"/>
      <c r="DB9" s="365"/>
      <c r="DC9" s="365"/>
      <c r="DD9" s="365"/>
      <c r="DE9" s="365"/>
      <c r="DF9" s="365"/>
      <c r="DG9" s="365"/>
      <c r="DH9" s="365"/>
      <c r="DI9" s="365"/>
      <c r="DJ9" s="365"/>
      <c r="DK9" s="365"/>
      <c r="DL9" s="365"/>
      <c r="DM9" s="365"/>
      <c r="DN9" s="365"/>
      <c r="DO9" s="365"/>
      <c r="DP9" s="365"/>
      <c r="DQ9" s="2"/>
      <c r="DR9" s="2"/>
      <c r="DS9" s="192"/>
    </row>
    <row r="10" spans="1:123" s="103" customFormat="1" ht="9.4499999999999993" customHeight="1" x14ac:dyDescent="0.3">
      <c r="B10" s="191"/>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192"/>
      <c r="BL10" s="191"/>
      <c r="BM10" s="365"/>
      <c r="BN10" s="365"/>
      <c r="BO10" s="365"/>
      <c r="BP10" s="365"/>
      <c r="BQ10" s="365"/>
      <c r="BR10" s="365"/>
      <c r="BS10" s="365"/>
      <c r="BT10" s="365"/>
      <c r="BU10" s="365"/>
      <c r="BV10" s="365"/>
      <c r="BW10" s="365"/>
      <c r="BX10" s="365"/>
      <c r="BY10" s="365"/>
      <c r="BZ10" s="365"/>
      <c r="CA10" s="365"/>
      <c r="CB10" s="365"/>
      <c r="CC10" s="365"/>
      <c r="CD10" s="365"/>
      <c r="CE10" s="365"/>
      <c r="CF10" s="365"/>
      <c r="CG10" s="365"/>
      <c r="CH10" s="365"/>
      <c r="CI10" s="365"/>
      <c r="CJ10" s="365"/>
      <c r="CK10" s="365"/>
      <c r="CL10" s="365"/>
      <c r="CM10" s="365"/>
      <c r="CN10" s="365"/>
      <c r="CO10" s="365"/>
      <c r="CP10" s="365"/>
      <c r="CQ10" s="365"/>
      <c r="CR10" s="365"/>
      <c r="CS10" s="365"/>
      <c r="CT10" s="365"/>
      <c r="CU10" s="365"/>
      <c r="CV10" s="365"/>
      <c r="CW10" s="365"/>
      <c r="CX10" s="365"/>
      <c r="CY10" s="365"/>
      <c r="CZ10" s="365"/>
      <c r="DA10" s="365"/>
      <c r="DB10" s="365"/>
      <c r="DC10" s="365"/>
      <c r="DD10" s="365"/>
      <c r="DE10" s="365"/>
      <c r="DF10" s="365"/>
      <c r="DG10" s="365"/>
      <c r="DH10" s="365"/>
      <c r="DI10" s="365"/>
      <c r="DJ10" s="365"/>
      <c r="DK10" s="365"/>
      <c r="DL10" s="365"/>
      <c r="DM10" s="365"/>
      <c r="DN10" s="365"/>
      <c r="DO10" s="365"/>
      <c r="DP10" s="365"/>
      <c r="DQ10" s="2"/>
      <c r="DR10" s="2"/>
      <c r="DS10" s="192"/>
    </row>
    <row r="11" spans="1:123" ht="9.4499999999999993" customHeight="1" x14ac:dyDescent="0.3">
      <c r="B11" s="191"/>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192"/>
      <c r="BL11" s="191"/>
      <c r="BM11" s="365"/>
      <c r="BN11" s="365"/>
      <c r="BO11" s="365"/>
      <c r="BP11" s="365"/>
      <c r="BQ11" s="365"/>
      <c r="BR11" s="365"/>
      <c r="BS11" s="365"/>
      <c r="BT11" s="365"/>
      <c r="BU11" s="365"/>
      <c r="BV11" s="365"/>
      <c r="BW11" s="365"/>
      <c r="BX11" s="365"/>
      <c r="BY11" s="365"/>
      <c r="BZ11" s="365"/>
      <c r="CA11" s="365"/>
      <c r="CB11" s="365"/>
      <c r="CC11" s="365"/>
      <c r="CD11" s="365"/>
      <c r="CE11" s="365"/>
      <c r="CF11" s="365"/>
      <c r="CG11" s="365"/>
      <c r="CH11" s="365"/>
      <c r="CI11" s="365"/>
      <c r="CJ11" s="365"/>
      <c r="CK11" s="365"/>
      <c r="CL11" s="365"/>
      <c r="CM11" s="365"/>
      <c r="CN11" s="365"/>
      <c r="CO11" s="365"/>
      <c r="CP11" s="365"/>
      <c r="CQ11" s="365"/>
      <c r="CR11" s="365"/>
      <c r="CS11" s="365"/>
      <c r="CT11" s="365"/>
      <c r="CU11" s="365"/>
      <c r="CV11" s="365"/>
      <c r="CW11" s="365"/>
      <c r="CX11" s="365"/>
      <c r="CY11" s="365"/>
      <c r="CZ11" s="365"/>
      <c r="DA11" s="365"/>
      <c r="DB11" s="365"/>
      <c r="DC11" s="365"/>
      <c r="DD11" s="365"/>
      <c r="DE11" s="365"/>
      <c r="DF11" s="365"/>
      <c r="DG11" s="365"/>
      <c r="DH11" s="365"/>
      <c r="DI11" s="365"/>
      <c r="DJ11" s="365"/>
      <c r="DK11" s="365"/>
      <c r="DL11" s="365"/>
      <c r="DM11" s="365"/>
      <c r="DN11" s="365"/>
      <c r="DO11" s="365"/>
      <c r="DP11" s="365"/>
      <c r="DQ11" s="2"/>
      <c r="DR11" s="2"/>
      <c r="DS11" s="192"/>
    </row>
    <row r="12" spans="1:123" s="103" customFormat="1" ht="9.4499999999999993" customHeight="1" x14ac:dyDescent="0.3">
      <c r="B12" s="191"/>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192"/>
      <c r="BL12" s="191"/>
      <c r="BM12" s="365"/>
      <c r="BN12" s="365"/>
      <c r="BO12" s="365"/>
      <c r="BP12" s="365"/>
      <c r="BQ12" s="365"/>
      <c r="BR12" s="365"/>
      <c r="BS12" s="365"/>
      <c r="BT12" s="365"/>
      <c r="BU12" s="365"/>
      <c r="BV12" s="365"/>
      <c r="BW12" s="365"/>
      <c r="BX12" s="365"/>
      <c r="BY12" s="365"/>
      <c r="BZ12" s="365"/>
      <c r="CA12" s="365"/>
      <c r="CB12" s="365"/>
      <c r="CC12" s="365"/>
      <c r="CD12" s="365"/>
      <c r="CE12" s="365"/>
      <c r="CF12" s="365"/>
      <c r="CG12" s="365"/>
      <c r="CH12" s="365"/>
      <c r="CI12" s="365"/>
      <c r="CJ12" s="365"/>
      <c r="CK12" s="365"/>
      <c r="CL12" s="365"/>
      <c r="CM12" s="365"/>
      <c r="CN12" s="365"/>
      <c r="CO12" s="365"/>
      <c r="CP12" s="365"/>
      <c r="CQ12" s="365"/>
      <c r="CR12" s="365"/>
      <c r="CS12" s="365"/>
      <c r="CT12" s="365"/>
      <c r="CU12" s="365"/>
      <c r="CV12" s="365"/>
      <c r="CW12" s="365"/>
      <c r="CX12" s="365"/>
      <c r="CY12" s="365"/>
      <c r="CZ12" s="365"/>
      <c r="DA12" s="365"/>
      <c r="DB12" s="365"/>
      <c r="DC12" s="365"/>
      <c r="DD12" s="365"/>
      <c r="DE12" s="365"/>
      <c r="DF12" s="365"/>
      <c r="DG12" s="365"/>
      <c r="DH12" s="365"/>
      <c r="DI12" s="365"/>
      <c r="DJ12" s="365"/>
      <c r="DK12" s="365"/>
      <c r="DL12" s="365"/>
      <c r="DM12" s="365"/>
      <c r="DN12" s="365"/>
      <c r="DO12" s="365"/>
      <c r="DP12" s="365"/>
      <c r="DQ12" s="2"/>
      <c r="DR12" s="2"/>
      <c r="DS12" s="192"/>
    </row>
    <row r="13" spans="1:123" ht="9.4499999999999993" customHeight="1" x14ac:dyDescent="0.3">
      <c r="B13" s="191"/>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192"/>
      <c r="BL13" s="191"/>
      <c r="BM13" s="365"/>
      <c r="BN13" s="365"/>
      <c r="BO13" s="365"/>
      <c r="BP13" s="365"/>
      <c r="BQ13" s="365"/>
      <c r="BR13" s="365"/>
      <c r="BS13" s="365"/>
      <c r="BT13" s="365"/>
      <c r="BU13" s="365"/>
      <c r="BV13" s="365"/>
      <c r="BW13" s="365"/>
      <c r="BX13" s="365"/>
      <c r="BY13" s="365"/>
      <c r="BZ13" s="365"/>
      <c r="CA13" s="365"/>
      <c r="CB13" s="365"/>
      <c r="CC13" s="365"/>
      <c r="CD13" s="365"/>
      <c r="CE13" s="365"/>
      <c r="CF13" s="365"/>
      <c r="CG13" s="365"/>
      <c r="CH13" s="365"/>
      <c r="CI13" s="365"/>
      <c r="CJ13" s="365"/>
      <c r="CK13" s="365"/>
      <c r="CL13" s="365"/>
      <c r="CM13" s="365"/>
      <c r="CN13" s="365"/>
      <c r="CO13" s="365"/>
      <c r="CP13" s="365"/>
      <c r="CQ13" s="365"/>
      <c r="CR13" s="365"/>
      <c r="CS13" s="365"/>
      <c r="CT13" s="365"/>
      <c r="CU13" s="365"/>
      <c r="CV13" s="365"/>
      <c r="CW13" s="365"/>
      <c r="CX13" s="365"/>
      <c r="CY13" s="365"/>
      <c r="CZ13" s="365"/>
      <c r="DA13" s="365"/>
      <c r="DB13" s="365"/>
      <c r="DC13" s="365"/>
      <c r="DD13" s="365"/>
      <c r="DE13" s="365"/>
      <c r="DF13" s="365"/>
      <c r="DG13" s="365"/>
      <c r="DH13" s="365"/>
      <c r="DI13" s="365"/>
      <c r="DJ13" s="365"/>
      <c r="DK13" s="365"/>
      <c r="DL13" s="365"/>
      <c r="DM13" s="365"/>
      <c r="DN13" s="365"/>
      <c r="DO13" s="365"/>
      <c r="DP13" s="365"/>
      <c r="DQ13" s="2"/>
      <c r="DR13" s="2"/>
      <c r="DS13" s="192"/>
    </row>
    <row r="14" spans="1:123" ht="9.4499999999999993" customHeight="1" x14ac:dyDescent="0.3">
      <c r="B14" s="191"/>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192"/>
      <c r="BL14" s="191"/>
      <c r="BM14" s="365"/>
      <c r="BN14" s="365"/>
      <c r="BO14" s="365"/>
      <c r="BP14" s="365"/>
      <c r="BQ14" s="365"/>
      <c r="BR14" s="365"/>
      <c r="BS14" s="365"/>
      <c r="BT14" s="365"/>
      <c r="BU14" s="365"/>
      <c r="BV14" s="365"/>
      <c r="BW14" s="365"/>
      <c r="BX14" s="365"/>
      <c r="BY14" s="365"/>
      <c r="BZ14" s="365"/>
      <c r="CA14" s="365"/>
      <c r="CB14" s="365"/>
      <c r="CC14" s="365"/>
      <c r="CD14" s="365"/>
      <c r="CE14" s="365"/>
      <c r="CF14" s="365"/>
      <c r="CG14" s="365"/>
      <c r="CH14" s="365"/>
      <c r="CI14" s="365"/>
      <c r="CJ14" s="365"/>
      <c r="CK14" s="365"/>
      <c r="CL14" s="365"/>
      <c r="CM14" s="365"/>
      <c r="CN14" s="365"/>
      <c r="CO14" s="365"/>
      <c r="CP14" s="365"/>
      <c r="CQ14" s="365"/>
      <c r="CR14" s="365"/>
      <c r="CS14" s="365"/>
      <c r="CT14" s="365"/>
      <c r="CU14" s="365"/>
      <c r="CV14" s="365"/>
      <c r="CW14" s="365"/>
      <c r="CX14" s="365"/>
      <c r="CY14" s="365"/>
      <c r="CZ14" s="365"/>
      <c r="DA14" s="365"/>
      <c r="DB14" s="365"/>
      <c r="DC14" s="365"/>
      <c r="DD14" s="365"/>
      <c r="DE14" s="365"/>
      <c r="DF14" s="365"/>
      <c r="DG14" s="365"/>
      <c r="DH14" s="365"/>
      <c r="DI14" s="365"/>
      <c r="DJ14" s="365"/>
      <c r="DK14" s="365"/>
      <c r="DL14" s="365"/>
      <c r="DM14" s="365"/>
      <c r="DN14" s="365"/>
      <c r="DO14" s="365"/>
      <c r="DP14" s="365"/>
      <c r="DQ14" s="2"/>
      <c r="DR14" s="2"/>
      <c r="DS14" s="192"/>
    </row>
    <row r="15" spans="1:123" ht="9.4499999999999993" customHeight="1" x14ac:dyDescent="0.3">
      <c r="B15" s="191"/>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192"/>
      <c r="BL15" s="191"/>
      <c r="BM15" s="365"/>
      <c r="BN15" s="365"/>
      <c r="BO15" s="365"/>
      <c r="BP15" s="365"/>
      <c r="BQ15" s="365"/>
      <c r="BR15" s="365"/>
      <c r="BS15" s="365"/>
      <c r="BT15" s="365"/>
      <c r="BU15" s="365"/>
      <c r="BV15" s="365"/>
      <c r="BW15" s="365"/>
      <c r="BX15" s="365"/>
      <c r="BY15" s="365"/>
      <c r="BZ15" s="365"/>
      <c r="CA15" s="365"/>
      <c r="CB15" s="365"/>
      <c r="CC15" s="365"/>
      <c r="CD15" s="365"/>
      <c r="CE15" s="365"/>
      <c r="CF15" s="365"/>
      <c r="CG15" s="365"/>
      <c r="CH15" s="365"/>
      <c r="CI15" s="365"/>
      <c r="CJ15" s="365"/>
      <c r="CK15" s="365"/>
      <c r="CL15" s="365"/>
      <c r="CM15" s="365"/>
      <c r="CN15" s="365"/>
      <c r="CO15" s="365"/>
      <c r="CP15" s="365"/>
      <c r="CQ15" s="365"/>
      <c r="CR15" s="365"/>
      <c r="CS15" s="365"/>
      <c r="CT15" s="365"/>
      <c r="CU15" s="365"/>
      <c r="CV15" s="365"/>
      <c r="CW15" s="365"/>
      <c r="CX15" s="365"/>
      <c r="CY15" s="365"/>
      <c r="CZ15" s="365"/>
      <c r="DA15" s="365"/>
      <c r="DB15" s="365"/>
      <c r="DC15" s="365"/>
      <c r="DD15" s="365"/>
      <c r="DE15" s="365"/>
      <c r="DF15" s="365"/>
      <c r="DG15" s="365"/>
      <c r="DH15" s="365"/>
      <c r="DI15" s="365"/>
      <c r="DJ15" s="365"/>
      <c r="DK15" s="365"/>
      <c r="DL15" s="365"/>
      <c r="DM15" s="365"/>
      <c r="DN15" s="365"/>
      <c r="DO15" s="365"/>
      <c r="DP15" s="365"/>
      <c r="DQ15" s="2"/>
      <c r="DR15" s="2"/>
      <c r="DS15" s="192"/>
    </row>
    <row r="16" spans="1:123" ht="9.4499999999999993" customHeight="1" x14ac:dyDescent="0.3">
      <c r="B16" s="191"/>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192"/>
      <c r="BL16" s="191"/>
      <c r="BM16" s="365"/>
      <c r="BN16" s="365"/>
      <c r="BO16" s="365"/>
      <c r="BP16" s="365"/>
      <c r="BQ16" s="365"/>
      <c r="BR16" s="365"/>
      <c r="BS16" s="365"/>
      <c r="BT16" s="365"/>
      <c r="BU16" s="365"/>
      <c r="BV16" s="365"/>
      <c r="BW16" s="365"/>
      <c r="BX16" s="365"/>
      <c r="BY16" s="365"/>
      <c r="BZ16" s="365"/>
      <c r="CA16" s="365"/>
      <c r="CB16" s="365"/>
      <c r="CC16" s="365"/>
      <c r="CD16" s="365"/>
      <c r="CE16" s="365"/>
      <c r="CF16" s="365"/>
      <c r="CG16" s="365"/>
      <c r="CH16" s="365"/>
      <c r="CI16" s="365"/>
      <c r="CJ16" s="365"/>
      <c r="CK16" s="365"/>
      <c r="CL16" s="365"/>
      <c r="CM16" s="365"/>
      <c r="CN16" s="365"/>
      <c r="CO16" s="365"/>
      <c r="CP16" s="365"/>
      <c r="CQ16" s="365"/>
      <c r="CR16" s="365"/>
      <c r="CS16" s="365"/>
      <c r="CT16" s="365"/>
      <c r="CU16" s="365"/>
      <c r="CV16" s="365"/>
      <c r="CW16" s="365"/>
      <c r="CX16" s="365"/>
      <c r="CY16" s="365"/>
      <c r="CZ16" s="365"/>
      <c r="DA16" s="365"/>
      <c r="DB16" s="365"/>
      <c r="DC16" s="365"/>
      <c r="DD16" s="365"/>
      <c r="DE16" s="365"/>
      <c r="DF16" s="365"/>
      <c r="DG16" s="365"/>
      <c r="DH16" s="365"/>
      <c r="DI16" s="365"/>
      <c r="DJ16" s="365"/>
      <c r="DK16" s="365"/>
      <c r="DL16" s="365"/>
      <c r="DM16" s="365"/>
      <c r="DN16" s="365"/>
      <c r="DO16" s="365"/>
      <c r="DP16" s="365"/>
      <c r="DQ16" s="2"/>
      <c r="DR16" s="2"/>
      <c r="DS16" s="192"/>
    </row>
    <row r="17" spans="1:123" ht="9.4499999999999993" customHeight="1" x14ac:dyDescent="0.3">
      <c r="B17" s="191"/>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192"/>
      <c r="BL17" s="191"/>
      <c r="BM17" s="365"/>
      <c r="BN17" s="365"/>
      <c r="BO17" s="365"/>
      <c r="BP17" s="365"/>
      <c r="BQ17" s="365"/>
      <c r="BR17" s="365"/>
      <c r="BS17" s="365"/>
      <c r="BT17" s="365"/>
      <c r="BU17" s="365"/>
      <c r="BV17" s="365"/>
      <c r="BW17" s="365"/>
      <c r="BX17" s="365"/>
      <c r="BY17" s="365"/>
      <c r="BZ17" s="365"/>
      <c r="CA17" s="365"/>
      <c r="CB17" s="365"/>
      <c r="CC17" s="365"/>
      <c r="CD17" s="365"/>
      <c r="CE17" s="365"/>
      <c r="CF17" s="365"/>
      <c r="CG17" s="365"/>
      <c r="CH17" s="365"/>
      <c r="CI17" s="365"/>
      <c r="CJ17" s="365"/>
      <c r="CK17" s="365"/>
      <c r="CL17" s="365"/>
      <c r="CM17" s="365"/>
      <c r="CN17" s="365"/>
      <c r="CO17" s="365"/>
      <c r="CP17" s="365"/>
      <c r="CQ17" s="365"/>
      <c r="CR17" s="365"/>
      <c r="CS17" s="365"/>
      <c r="CT17" s="365"/>
      <c r="CU17" s="365"/>
      <c r="CV17" s="365"/>
      <c r="CW17" s="365"/>
      <c r="CX17" s="365"/>
      <c r="CY17" s="365"/>
      <c r="CZ17" s="365"/>
      <c r="DA17" s="365"/>
      <c r="DB17" s="365"/>
      <c r="DC17" s="365"/>
      <c r="DD17" s="365"/>
      <c r="DE17" s="365"/>
      <c r="DF17" s="365"/>
      <c r="DG17" s="365"/>
      <c r="DH17" s="365"/>
      <c r="DI17" s="365"/>
      <c r="DJ17" s="365"/>
      <c r="DK17" s="365"/>
      <c r="DL17" s="365"/>
      <c r="DM17" s="365"/>
      <c r="DN17" s="365"/>
      <c r="DO17" s="365"/>
      <c r="DP17" s="365"/>
      <c r="DQ17" s="2"/>
      <c r="DR17" s="2"/>
      <c r="DS17" s="192"/>
    </row>
    <row r="18" spans="1:123" ht="9.4499999999999993" customHeight="1" x14ac:dyDescent="0.3">
      <c r="B18" s="191"/>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192"/>
      <c r="BL18" s="191"/>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192"/>
    </row>
    <row r="19" spans="1:123" ht="9.4499999999999993" customHeight="1" x14ac:dyDescent="0.3">
      <c r="B19" s="191"/>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192"/>
      <c r="BL19" s="191"/>
      <c r="BM19" s="368" t="s">
        <v>5</v>
      </c>
      <c r="BN19" s="368"/>
      <c r="BO19" s="368"/>
      <c r="BP19" s="368"/>
      <c r="BQ19" s="368"/>
      <c r="BR19" s="368"/>
      <c r="BS19" s="368"/>
      <c r="BT19" s="368"/>
      <c r="BU19" s="368"/>
      <c r="BV19" s="368"/>
      <c r="BW19" s="368"/>
      <c r="BX19" s="368"/>
      <c r="BY19" s="368"/>
      <c r="BZ19" s="368"/>
      <c r="CA19" s="368"/>
      <c r="CB19" s="368"/>
      <c r="CC19" s="368"/>
      <c r="CD19" s="368"/>
      <c r="CE19" s="368"/>
      <c r="CF19" s="368"/>
      <c r="CG19" s="368"/>
      <c r="CH19" s="368"/>
      <c r="CI19" s="368"/>
      <c r="CJ19" s="368"/>
      <c r="CK19" s="368"/>
      <c r="CL19" s="368"/>
      <c r="CM19" s="368"/>
      <c r="CN19" s="368"/>
      <c r="CO19" s="368"/>
      <c r="CP19" s="368"/>
      <c r="CQ19" s="368"/>
      <c r="CR19" s="368"/>
      <c r="CS19" s="368"/>
      <c r="CT19" s="368"/>
      <c r="CU19" s="368"/>
      <c r="CV19" s="368"/>
      <c r="CW19" s="368"/>
      <c r="CX19" s="368"/>
      <c r="CY19" s="368"/>
      <c r="CZ19" s="368"/>
      <c r="DA19" s="368"/>
      <c r="DB19" s="368"/>
      <c r="DC19" s="368"/>
      <c r="DD19" s="368"/>
      <c r="DE19" s="368"/>
      <c r="DF19" s="368"/>
      <c r="DG19" s="368"/>
      <c r="DH19" s="368"/>
      <c r="DI19" s="368"/>
      <c r="DJ19" s="368"/>
      <c r="DK19" s="368"/>
      <c r="DL19" s="368"/>
      <c r="DM19" s="368"/>
      <c r="DN19" s="368"/>
      <c r="DO19" s="368"/>
      <c r="DP19" s="368"/>
      <c r="DQ19" s="2"/>
      <c r="DR19" s="2"/>
      <c r="DS19" s="192"/>
    </row>
    <row r="20" spans="1:123" ht="9.4499999999999993" customHeight="1" x14ac:dyDescent="0.3">
      <c r="A20" s="7"/>
      <c r="B20" s="191"/>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192"/>
      <c r="BL20" s="191"/>
      <c r="BM20" s="368"/>
      <c r="BN20" s="368"/>
      <c r="BO20" s="368"/>
      <c r="BP20" s="368"/>
      <c r="BQ20" s="368"/>
      <c r="BR20" s="368"/>
      <c r="BS20" s="368"/>
      <c r="BT20" s="368"/>
      <c r="BU20" s="368"/>
      <c r="BV20" s="368"/>
      <c r="BW20" s="368"/>
      <c r="BX20" s="368"/>
      <c r="BY20" s="368"/>
      <c r="BZ20" s="368"/>
      <c r="CA20" s="368"/>
      <c r="CB20" s="368"/>
      <c r="CC20" s="368"/>
      <c r="CD20" s="368"/>
      <c r="CE20" s="368"/>
      <c r="CF20" s="368"/>
      <c r="CG20" s="368"/>
      <c r="CH20" s="368"/>
      <c r="CI20" s="368"/>
      <c r="CJ20" s="368"/>
      <c r="CK20" s="368"/>
      <c r="CL20" s="368"/>
      <c r="CM20" s="368"/>
      <c r="CN20" s="368"/>
      <c r="CO20" s="368"/>
      <c r="CP20" s="368"/>
      <c r="CQ20" s="368"/>
      <c r="CR20" s="368"/>
      <c r="CS20" s="368"/>
      <c r="CT20" s="368"/>
      <c r="CU20" s="368"/>
      <c r="CV20" s="368"/>
      <c r="CW20" s="368"/>
      <c r="CX20" s="368"/>
      <c r="CY20" s="368"/>
      <c r="CZ20" s="368"/>
      <c r="DA20" s="368"/>
      <c r="DB20" s="368"/>
      <c r="DC20" s="368"/>
      <c r="DD20" s="368"/>
      <c r="DE20" s="368"/>
      <c r="DF20" s="368"/>
      <c r="DG20" s="368"/>
      <c r="DH20" s="368"/>
      <c r="DI20" s="368"/>
      <c r="DJ20" s="368"/>
      <c r="DK20" s="368"/>
      <c r="DL20" s="368"/>
      <c r="DM20" s="368"/>
      <c r="DN20" s="368"/>
      <c r="DO20" s="368"/>
      <c r="DP20" s="368"/>
      <c r="DQ20" s="2"/>
      <c r="DR20" s="2"/>
      <c r="DS20" s="192"/>
    </row>
    <row r="21" spans="1:123" ht="9.4499999999999993" customHeight="1" x14ac:dyDescent="0.45">
      <c r="A21" s="130"/>
      <c r="B21" s="191"/>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192"/>
      <c r="BL21" s="191"/>
      <c r="BM21" s="365" t="s">
        <v>450</v>
      </c>
      <c r="BN21" s="365"/>
      <c r="BO21" s="365"/>
      <c r="BP21" s="365"/>
      <c r="BQ21" s="365"/>
      <c r="BR21" s="365"/>
      <c r="BS21" s="365"/>
      <c r="BT21" s="365"/>
      <c r="BU21" s="365"/>
      <c r="BV21" s="365"/>
      <c r="BW21" s="365"/>
      <c r="BX21" s="365"/>
      <c r="BY21" s="365"/>
      <c r="BZ21" s="365"/>
      <c r="CA21" s="365"/>
      <c r="CB21" s="365"/>
      <c r="CC21" s="365"/>
      <c r="CD21" s="365"/>
      <c r="CE21" s="365"/>
      <c r="CF21" s="365"/>
      <c r="CG21" s="365"/>
      <c r="CH21" s="365"/>
      <c r="CI21" s="365"/>
      <c r="CJ21" s="365"/>
      <c r="CK21" s="365"/>
      <c r="CL21" s="365"/>
      <c r="CM21" s="365"/>
      <c r="CN21" s="365"/>
      <c r="CO21" s="365"/>
      <c r="CP21" s="365"/>
      <c r="CQ21" s="365"/>
      <c r="CR21" s="365"/>
      <c r="CS21" s="365"/>
      <c r="CT21" s="365"/>
      <c r="CU21" s="365"/>
      <c r="CV21" s="365"/>
      <c r="CW21" s="365"/>
      <c r="CX21" s="365"/>
      <c r="CY21" s="365"/>
      <c r="CZ21" s="365"/>
      <c r="DA21" s="365"/>
      <c r="DB21" s="365"/>
      <c r="DC21" s="365"/>
      <c r="DD21" s="365"/>
      <c r="DE21" s="365"/>
      <c r="DF21" s="365"/>
      <c r="DG21" s="365"/>
      <c r="DH21" s="365"/>
      <c r="DI21" s="365"/>
      <c r="DJ21" s="365"/>
      <c r="DK21" s="365"/>
      <c r="DL21" s="365"/>
      <c r="DM21" s="365"/>
      <c r="DN21" s="365"/>
      <c r="DO21" s="365"/>
      <c r="DP21" s="365"/>
      <c r="DQ21" s="2"/>
      <c r="DR21" s="2"/>
      <c r="DS21" s="192"/>
    </row>
    <row r="22" spans="1:123" ht="9.4499999999999993" customHeight="1" x14ac:dyDescent="0.3">
      <c r="A22" s="1"/>
      <c r="B22" s="191"/>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192"/>
      <c r="BL22" s="191"/>
      <c r="BM22" s="365"/>
      <c r="BN22" s="365"/>
      <c r="BO22" s="365"/>
      <c r="BP22" s="365"/>
      <c r="BQ22" s="365"/>
      <c r="BR22" s="365"/>
      <c r="BS22" s="365"/>
      <c r="BT22" s="365"/>
      <c r="BU22" s="365"/>
      <c r="BV22" s="365"/>
      <c r="BW22" s="365"/>
      <c r="BX22" s="365"/>
      <c r="BY22" s="365"/>
      <c r="BZ22" s="365"/>
      <c r="CA22" s="365"/>
      <c r="CB22" s="365"/>
      <c r="CC22" s="365"/>
      <c r="CD22" s="365"/>
      <c r="CE22" s="365"/>
      <c r="CF22" s="365"/>
      <c r="CG22" s="365"/>
      <c r="CH22" s="365"/>
      <c r="CI22" s="365"/>
      <c r="CJ22" s="365"/>
      <c r="CK22" s="365"/>
      <c r="CL22" s="365"/>
      <c r="CM22" s="365"/>
      <c r="CN22" s="365"/>
      <c r="CO22" s="365"/>
      <c r="CP22" s="365"/>
      <c r="CQ22" s="365"/>
      <c r="CR22" s="365"/>
      <c r="CS22" s="365"/>
      <c r="CT22" s="365"/>
      <c r="CU22" s="365"/>
      <c r="CV22" s="365"/>
      <c r="CW22" s="365"/>
      <c r="CX22" s="365"/>
      <c r="CY22" s="365"/>
      <c r="CZ22" s="365"/>
      <c r="DA22" s="365"/>
      <c r="DB22" s="365"/>
      <c r="DC22" s="365"/>
      <c r="DD22" s="365"/>
      <c r="DE22" s="365"/>
      <c r="DF22" s="365"/>
      <c r="DG22" s="365"/>
      <c r="DH22" s="365"/>
      <c r="DI22" s="365"/>
      <c r="DJ22" s="365"/>
      <c r="DK22" s="365"/>
      <c r="DL22" s="365"/>
      <c r="DM22" s="365"/>
      <c r="DN22" s="365"/>
      <c r="DO22" s="365"/>
      <c r="DP22" s="365"/>
      <c r="DQ22" s="2"/>
      <c r="DR22" s="2"/>
      <c r="DS22" s="192"/>
    </row>
    <row r="23" spans="1:123" ht="9.4499999999999993" customHeight="1" x14ac:dyDescent="0.3">
      <c r="B23" s="191"/>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192"/>
      <c r="BL23" s="191"/>
      <c r="BM23" s="365"/>
      <c r="BN23" s="365"/>
      <c r="BO23" s="365"/>
      <c r="BP23" s="365"/>
      <c r="BQ23" s="365"/>
      <c r="BR23" s="365"/>
      <c r="BS23" s="365"/>
      <c r="BT23" s="365"/>
      <c r="BU23" s="365"/>
      <c r="BV23" s="365"/>
      <c r="BW23" s="365"/>
      <c r="BX23" s="365"/>
      <c r="BY23" s="365"/>
      <c r="BZ23" s="365"/>
      <c r="CA23" s="365"/>
      <c r="CB23" s="365"/>
      <c r="CC23" s="365"/>
      <c r="CD23" s="365"/>
      <c r="CE23" s="365"/>
      <c r="CF23" s="365"/>
      <c r="CG23" s="365"/>
      <c r="CH23" s="365"/>
      <c r="CI23" s="365"/>
      <c r="CJ23" s="365"/>
      <c r="CK23" s="365"/>
      <c r="CL23" s="365"/>
      <c r="CM23" s="365"/>
      <c r="CN23" s="365"/>
      <c r="CO23" s="365"/>
      <c r="CP23" s="365"/>
      <c r="CQ23" s="365"/>
      <c r="CR23" s="365"/>
      <c r="CS23" s="365"/>
      <c r="CT23" s="365"/>
      <c r="CU23" s="365"/>
      <c r="CV23" s="365"/>
      <c r="CW23" s="365"/>
      <c r="CX23" s="365"/>
      <c r="CY23" s="365"/>
      <c r="CZ23" s="365"/>
      <c r="DA23" s="365"/>
      <c r="DB23" s="365"/>
      <c r="DC23" s="365"/>
      <c r="DD23" s="365"/>
      <c r="DE23" s="365"/>
      <c r="DF23" s="365"/>
      <c r="DG23" s="365"/>
      <c r="DH23" s="365"/>
      <c r="DI23" s="365"/>
      <c r="DJ23" s="365"/>
      <c r="DK23" s="365"/>
      <c r="DL23" s="365"/>
      <c r="DM23" s="365"/>
      <c r="DN23" s="365"/>
      <c r="DO23" s="365"/>
      <c r="DP23" s="365"/>
      <c r="DQ23" s="2"/>
      <c r="DR23" s="2"/>
      <c r="DS23" s="192"/>
    </row>
    <row r="24" spans="1:123" ht="9.4499999999999993" customHeight="1" x14ac:dyDescent="0.3">
      <c r="B24" s="191"/>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192"/>
      <c r="BL24" s="191"/>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2"/>
      <c r="DR24" s="2"/>
      <c r="DS24" s="192"/>
    </row>
    <row r="25" spans="1:123" ht="9.4499999999999993" customHeight="1" x14ac:dyDescent="0.3">
      <c r="B25" s="191"/>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192"/>
      <c r="BL25" s="191"/>
      <c r="BM25" s="365"/>
      <c r="BN25" s="365"/>
      <c r="BO25" s="365"/>
      <c r="BP25" s="365"/>
      <c r="BQ25" s="365"/>
      <c r="BR25" s="365"/>
      <c r="BS25" s="365"/>
      <c r="BT25" s="365"/>
      <c r="BU25" s="365"/>
      <c r="BV25" s="365"/>
      <c r="BW25" s="365"/>
      <c r="BX25" s="365"/>
      <c r="BY25" s="365"/>
      <c r="BZ25" s="365"/>
      <c r="CA25" s="365"/>
      <c r="CB25" s="365"/>
      <c r="CC25" s="365"/>
      <c r="CD25" s="365"/>
      <c r="CE25" s="365"/>
      <c r="CF25" s="365"/>
      <c r="CG25" s="365"/>
      <c r="CH25" s="365"/>
      <c r="CI25" s="365"/>
      <c r="CJ25" s="365"/>
      <c r="CK25" s="365"/>
      <c r="CL25" s="365"/>
      <c r="CM25" s="365"/>
      <c r="CN25" s="365"/>
      <c r="CO25" s="365"/>
      <c r="CP25" s="365"/>
      <c r="CQ25" s="365"/>
      <c r="CR25" s="365"/>
      <c r="CS25" s="365"/>
      <c r="CT25" s="365"/>
      <c r="CU25" s="365"/>
      <c r="CV25" s="365"/>
      <c r="CW25" s="365"/>
      <c r="CX25" s="365"/>
      <c r="CY25" s="365"/>
      <c r="CZ25" s="365"/>
      <c r="DA25" s="365"/>
      <c r="DB25" s="365"/>
      <c r="DC25" s="365"/>
      <c r="DD25" s="365"/>
      <c r="DE25" s="365"/>
      <c r="DF25" s="365"/>
      <c r="DG25" s="365"/>
      <c r="DH25" s="365"/>
      <c r="DI25" s="365"/>
      <c r="DJ25" s="365"/>
      <c r="DK25" s="365"/>
      <c r="DL25" s="365"/>
      <c r="DM25" s="365"/>
      <c r="DN25" s="365"/>
      <c r="DO25" s="365"/>
      <c r="DP25" s="365"/>
      <c r="DQ25" s="2"/>
      <c r="DR25" s="2"/>
      <c r="DS25" s="192"/>
    </row>
    <row r="26" spans="1:123" ht="9.4499999999999993" customHeight="1" x14ac:dyDescent="0.3">
      <c r="B26" s="191"/>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192"/>
      <c r="BL26" s="191"/>
      <c r="BM26" s="365"/>
      <c r="BN26" s="365"/>
      <c r="BO26" s="365"/>
      <c r="BP26" s="365"/>
      <c r="BQ26" s="365"/>
      <c r="BR26" s="365"/>
      <c r="BS26" s="365"/>
      <c r="BT26" s="365"/>
      <c r="BU26" s="365"/>
      <c r="BV26" s="365"/>
      <c r="BW26" s="365"/>
      <c r="BX26" s="365"/>
      <c r="BY26" s="365"/>
      <c r="BZ26" s="365"/>
      <c r="CA26" s="365"/>
      <c r="CB26" s="365"/>
      <c r="CC26" s="365"/>
      <c r="CD26" s="365"/>
      <c r="CE26" s="365"/>
      <c r="CF26" s="365"/>
      <c r="CG26" s="365"/>
      <c r="CH26" s="365"/>
      <c r="CI26" s="365"/>
      <c r="CJ26" s="365"/>
      <c r="CK26" s="365"/>
      <c r="CL26" s="365"/>
      <c r="CM26" s="365"/>
      <c r="CN26" s="365"/>
      <c r="CO26" s="365"/>
      <c r="CP26" s="365"/>
      <c r="CQ26" s="365"/>
      <c r="CR26" s="365"/>
      <c r="CS26" s="365"/>
      <c r="CT26" s="365"/>
      <c r="CU26" s="365"/>
      <c r="CV26" s="365"/>
      <c r="CW26" s="365"/>
      <c r="CX26" s="365"/>
      <c r="CY26" s="365"/>
      <c r="CZ26" s="365"/>
      <c r="DA26" s="365"/>
      <c r="DB26" s="365"/>
      <c r="DC26" s="365"/>
      <c r="DD26" s="365"/>
      <c r="DE26" s="365"/>
      <c r="DF26" s="365"/>
      <c r="DG26" s="365"/>
      <c r="DH26" s="365"/>
      <c r="DI26" s="365"/>
      <c r="DJ26" s="365"/>
      <c r="DK26" s="365"/>
      <c r="DL26" s="365"/>
      <c r="DM26" s="365"/>
      <c r="DN26" s="365"/>
      <c r="DO26" s="365"/>
      <c r="DP26" s="365"/>
      <c r="DQ26" s="2"/>
      <c r="DR26" s="2"/>
      <c r="DS26" s="192"/>
    </row>
    <row r="27" spans="1:123" ht="9.4499999999999993" customHeight="1" x14ac:dyDescent="0.3">
      <c r="B27" s="191"/>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192"/>
      <c r="BL27" s="191"/>
      <c r="BM27" s="365"/>
      <c r="BN27" s="365"/>
      <c r="BO27" s="365"/>
      <c r="BP27" s="365"/>
      <c r="BQ27" s="365"/>
      <c r="BR27" s="365"/>
      <c r="BS27" s="365"/>
      <c r="BT27" s="365"/>
      <c r="BU27" s="365"/>
      <c r="BV27" s="365"/>
      <c r="BW27" s="365"/>
      <c r="BX27" s="365"/>
      <c r="BY27" s="365"/>
      <c r="BZ27" s="365"/>
      <c r="CA27" s="365"/>
      <c r="CB27" s="365"/>
      <c r="CC27" s="365"/>
      <c r="CD27" s="365"/>
      <c r="CE27" s="365"/>
      <c r="CF27" s="365"/>
      <c r="CG27" s="365"/>
      <c r="CH27" s="365"/>
      <c r="CI27" s="365"/>
      <c r="CJ27" s="365"/>
      <c r="CK27" s="365"/>
      <c r="CL27" s="365"/>
      <c r="CM27" s="365"/>
      <c r="CN27" s="365"/>
      <c r="CO27" s="365"/>
      <c r="CP27" s="365"/>
      <c r="CQ27" s="365"/>
      <c r="CR27" s="365"/>
      <c r="CS27" s="365"/>
      <c r="CT27" s="365"/>
      <c r="CU27" s="365"/>
      <c r="CV27" s="365"/>
      <c r="CW27" s="365"/>
      <c r="CX27" s="365"/>
      <c r="CY27" s="365"/>
      <c r="CZ27" s="365"/>
      <c r="DA27" s="365"/>
      <c r="DB27" s="365"/>
      <c r="DC27" s="365"/>
      <c r="DD27" s="365"/>
      <c r="DE27" s="365"/>
      <c r="DF27" s="365"/>
      <c r="DG27" s="365"/>
      <c r="DH27" s="365"/>
      <c r="DI27" s="365"/>
      <c r="DJ27" s="365"/>
      <c r="DK27" s="365"/>
      <c r="DL27" s="365"/>
      <c r="DM27" s="365"/>
      <c r="DN27" s="365"/>
      <c r="DO27" s="365"/>
      <c r="DP27" s="365"/>
      <c r="DQ27" s="2"/>
      <c r="DR27" s="2"/>
      <c r="DS27" s="192"/>
    </row>
    <row r="28" spans="1:123" ht="9.4499999999999993" customHeight="1" x14ac:dyDescent="0.3">
      <c r="B28" s="191"/>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192"/>
      <c r="BL28" s="191"/>
      <c r="BM28" s="365"/>
      <c r="BN28" s="365"/>
      <c r="BO28" s="365"/>
      <c r="BP28" s="365"/>
      <c r="BQ28" s="365"/>
      <c r="BR28" s="365"/>
      <c r="BS28" s="365"/>
      <c r="BT28" s="365"/>
      <c r="BU28" s="365"/>
      <c r="BV28" s="365"/>
      <c r="BW28" s="365"/>
      <c r="BX28" s="365"/>
      <c r="BY28" s="365"/>
      <c r="BZ28" s="365"/>
      <c r="CA28" s="365"/>
      <c r="CB28" s="365"/>
      <c r="CC28" s="365"/>
      <c r="CD28" s="365"/>
      <c r="CE28" s="365"/>
      <c r="CF28" s="365"/>
      <c r="CG28" s="365"/>
      <c r="CH28" s="365"/>
      <c r="CI28" s="365"/>
      <c r="CJ28" s="365"/>
      <c r="CK28" s="365"/>
      <c r="CL28" s="365"/>
      <c r="CM28" s="365"/>
      <c r="CN28" s="365"/>
      <c r="CO28" s="365"/>
      <c r="CP28" s="365"/>
      <c r="CQ28" s="365"/>
      <c r="CR28" s="365"/>
      <c r="CS28" s="365"/>
      <c r="CT28" s="365"/>
      <c r="CU28" s="365"/>
      <c r="CV28" s="365"/>
      <c r="CW28" s="365"/>
      <c r="CX28" s="365"/>
      <c r="CY28" s="365"/>
      <c r="CZ28" s="365"/>
      <c r="DA28" s="365"/>
      <c r="DB28" s="365"/>
      <c r="DC28" s="365"/>
      <c r="DD28" s="365"/>
      <c r="DE28" s="365"/>
      <c r="DF28" s="365"/>
      <c r="DG28" s="365"/>
      <c r="DH28" s="365"/>
      <c r="DI28" s="365"/>
      <c r="DJ28" s="365"/>
      <c r="DK28" s="365"/>
      <c r="DL28" s="365"/>
      <c r="DM28" s="365"/>
      <c r="DN28" s="365"/>
      <c r="DO28" s="365"/>
      <c r="DP28" s="365"/>
      <c r="DQ28" s="2"/>
      <c r="DR28" s="2"/>
      <c r="DS28" s="192"/>
    </row>
    <row r="29" spans="1:123" ht="9.4499999999999993" customHeight="1" x14ac:dyDescent="0.3">
      <c r="B29" s="191"/>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192"/>
      <c r="BL29" s="191"/>
      <c r="BM29" s="365"/>
      <c r="BN29" s="365"/>
      <c r="BO29" s="365"/>
      <c r="BP29" s="365"/>
      <c r="BQ29" s="365"/>
      <c r="BR29" s="365"/>
      <c r="BS29" s="365"/>
      <c r="BT29" s="365"/>
      <c r="BU29" s="365"/>
      <c r="BV29" s="365"/>
      <c r="BW29" s="365"/>
      <c r="BX29" s="365"/>
      <c r="BY29" s="365"/>
      <c r="BZ29" s="365"/>
      <c r="CA29" s="365"/>
      <c r="CB29" s="365"/>
      <c r="CC29" s="365"/>
      <c r="CD29" s="365"/>
      <c r="CE29" s="365"/>
      <c r="CF29" s="365"/>
      <c r="CG29" s="365"/>
      <c r="CH29" s="365"/>
      <c r="CI29" s="365"/>
      <c r="CJ29" s="365"/>
      <c r="CK29" s="365"/>
      <c r="CL29" s="365"/>
      <c r="CM29" s="365"/>
      <c r="CN29" s="365"/>
      <c r="CO29" s="365"/>
      <c r="CP29" s="365"/>
      <c r="CQ29" s="365"/>
      <c r="CR29" s="365"/>
      <c r="CS29" s="365"/>
      <c r="CT29" s="365"/>
      <c r="CU29" s="365"/>
      <c r="CV29" s="365"/>
      <c r="CW29" s="365"/>
      <c r="CX29" s="365"/>
      <c r="CY29" s="365"/>
      <c r="CZ29" s="365"/>
      <c r="DA29" s="365"/>
      <c r="DB29" s="365"/>
      <c r="DC29" s="365"/>
      <c r="DD29" s="365"/>
      <c r="DE29" s="365"/>
      <c r="DF29" s="365"/>
      <c r="DG29" s="365"/>
      <c r="DH29" s="365"/>
      <c r="DI29" s="365"/>
      <c r="DJ29" s="365"/>
      <c r="DK29" s="365"/>
      <c r="DL29" s="365"/>
      <c r="DM29" s="365"/>
      <c r="DN29" s="365"/>
      <c r="DO29" s="365"/>
      <c r="DP29" s="365"/>
      <c r="DQ29" s="2"/>
      <c r="DR29" s="2"/>
      <c r="DS29" s="192"/>
    </row>
    <row r="30" spans="1:123" ht="9.4499999999999993" customHeight="1" x14ac:dyDescent="0.3">
      <c r="B30" s="191"/>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192"/>
      <c r="BL30" s="191"/>
      <c r="BM30" s="365"/>
      <c r="BN30" s="365"/>
      <c r="BO30" s="365"/>
      <c r="BP30" s="365"/>
      <c r="BQ30" s="365"/>
      <c r="BR30" s="365"/>
      <c r="BS30" s="365"/>
      <c r="BT30" s="365"/>
      <c r="BU30" s="365"/>
      <c r="BV30" s="365"/>
      <c r="BW30" s="365"/>
      <c r="BX30" s="365"/>
      <c r="BY30" s="365"/>
      <c r="BZ30" s="365"/>
      <c r="CA30" s="365"/>
      <c r="CB30" s="365"/>
      <c r="CC30" s="365"/>
      <c r="CD30" s="365"/>
      <c r="CE30" s="365"/>
      <c r="CF30" s="365"/>
      <c r="CG30" s="365"/>
      <c r="CH30" s="365"/>
      <c r="CI30" s="365"/>
      <c r="CJ30" s="365"/>
      <c r="CK30" s="365"/>
      <c r="CL30" s="365"/>
      <c r="CM30" s="365"/>
      <c r="CN30" s="365"/>
      <c r="CO30" s="365"/>
      <c r="CP30" s="365"/>
      <c r="CQ30" s="365"/>
      <c r="CR30" s="365"/>
      <c r="CS30" s="365"/>
      <c r="CT30" s="365"/>
      <c r="CU30" s="365"/>
      <c r="CV30" s="365"/>
      <c r="CW30" s="365"/>
      <c r="CX30" s="365"/>
      <c r="CY30" s="365"/>
      <c r="CZ30" s="365"/>
      <c r="DA30" s="365"/>
      <c r="DB30" s="365"/>
      <c r="DC30" s="365"/>
      <c r="DD30" s="365"/>
      <c r="DE30" s="365"/>
      <c r="DF30" s="365"/>
      <c r="DG30" s="365"/>
      <c r="DH30" s="365"/>
      <c r="DI30" s="365"/>
      <c r="DJ30" s="365"/>
      <c r="DK30" s="365"/>
      <c r="DL30" s="365"/>
      <c r="DM30" s="365"/>
      <c r="DN30" s="365"/>
      <c r="DO30" s="365"/>
      <c r="DP30" s="365"/>
      <c r="DQ30" s="2"/>
      <c r="DR30" s="2"/>
      <c r="DS30" s="192"/>
    </row>
    <row r="31" spans="1:123" ht="9.4499999999999993" customHeight="1" x14ac:dyDescent="0.3">
      <c r="B31" s="191"/>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192"/>
      <c r="BL31" s="191"/>
      <c r="BM31" s="365"/>
      <c r="BN31" s="365"/>
      <c r="BO31" s="365"/>
      <c r="BP31" s="365"/>
      <c r="BQ31" s="365"/>
      <c r="BR31" s="365"/>
      <c r="BS31" s="365"/>
      <c r="BT31" s="365"/>
      <c r="BU31" s="365"/>
      <c r="BV31" s="365"/>
      <c r="BW31" s="365"/>
      <c r="BX31" s="365"/>
      <c r="BY31" s="365"/>
      <c r="BZ31" s="365"/>
      <c r="CA31" s="365"/>
      <c r="CB31" s="365"/>
      <c r="CC31" s="365"/>
      <c r="CD31" s="365"/>
      <c r="CE31" s="365"/>
      <c r="CF31" s="365"/>
      <c r="CG31" s="365"/>
      <c r="CH31" s="365"/>
      <c r="CI31" s="365"/>
      <c r="CJ31" s="365"/>
      <c r="CK31" s="365"/>
      <c r="CL31" s="365"/>
      <c r="CM31" s="365"/>
      <c r="CN31" s="365"/>
      <c r="CO31" s="365"/>
      <c r="CP31" s="365"/>
      <c r="CQ31" s="365"/>
      <c r="CR31" s="365"/>
      <c r="CS31" s="365"/>
      <c r="CT31" s="365"/>
      <c r="CU31" s="365"/>
      <c r="CV31" s="365"/>
      <c r="CW31" s="365"/>
      <c r="CX31" s="365"/>
      <c r="CY31" s="365"/>
      <c r="CZ31" s="365"/>
      <c r="DA31" s="365"/>
      <c r="DB31" s="365"/>
      <c r="DC31" s="365"/>
      <c r="DD31" s="365"/>
      <c r="DE31" s="365"/>
      <c r="DF31" s="365"/>
      <c r="DG31" s="365"/>
      <c r="DH31" s="365"/>
      <c r="DI31" s="365"/>
      <c r="DJ31" s="365"/>
      <c r="DK31" s="365"/>
      <c r="DL31" s="365"/>
      <c r="DM31" s="365"/>
      <c r="DN31" s="365"/>
      <c r="DO31" s="365"/>
      <c r="DP31" s="365"/>
      <c r="DQ31" s="2"/>
      <c r="DR31" s="2"/>
      <c r="DS31" s="192"/>
    </row>
    <row r="32" spans="1:123" ht="9.4499999999999993" customHeight="1" x14ac:dyDescent="0.3">
      <c r="B32" s="191"/>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192"/>
      <c r="BL32" s="191"/>
      <c r="BM32" s="365"/>
      <c r="BN32" s="365"/>
      <c r="BO32" s="365"/>
      <c r="BP32" s="365"/>
      <c r="BQ32" s="365"/>
      <c r="BR32" s="365"/>
      <c r="BS32" s="365"/>
      <c r="BT32" s="365"/>
      <c r="BU32" s="365"/>
      <c r="BV32" s="365"/>
      <c r="BW32" s="365"/>
      <c r="BX32" s="365"/>
      <c r="BY32" s="365"/>
      <c r="BZ32" s="365"/>
      <c r="CA32" s="365"/>
      <c r="CB32" s="365"/>
      <c r="CC32" s="365"/>
      <c r="CD32" s="365"/>
      <c r="CE32" s="365"/>
      <c r="CF32" s="365"/>
      <c r="CG32" s="365"/>
      <c r="CH32" s="365"/>
      <c r="CI32" s="365"/>
      <c r="CJ32" s="365"/>
      <c r="CK32" s="365"/>
      <c r="CL32" s="365"/>
      <c r="CM32" s="365"/>
      <c r="CN32" s="365"/>
      <c r="CO32" s="365"/>
      <c r="CP32" s="365"/>
      <c r="CQ32" s="365"/>
      <c r="CR32" s="365"/>
      <c r="CS32" s="365"/>
      <c r="CT32" s="365"/>
      <c r="CU32" s="365"/>
      <c r="CV32" s="365"/>
      <c r="CW32" s="365"/>
      <c r="CX32" s="365"/>
      <c r="CY32" s="365"/>
      <c r="CZ32" s="365"/>
      <c r="DA32" s="365"/>
      <c r="DB32" s="365"/>
      <c r="DC32" s="365"/>
      <c r="DD32" s="365"/>
      <c r="DE32" s="365"/>
      <c r="DF32" s="365"/>
      <c r="DG32" s="365"/>
      <c r="DH32" s="365"/>
      <c r="DI32" s="365"/>
      <c r="DJ32" s="365"/>
      <c r="DK32" s="365"/>
      <c r="DL32" s="365"/>
      <c r="DM32" s="365"/>
      <c r="DN32" s="365"/>
      <c r="DO32" s="365"/>
      <c r="DP32" s="365"/>
      <c r="DQ32" s="2"/>
      <c r="DR32" s="2"/>
      <c r="DS32" s="192"/>
    </row>
    <row r="33" spans="2:123" ht="9.4499999999999993" customHeight="1" x14ac:dyDescent="0.3">
      <c r="B33" s="191"/>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192"/>
      <c r="BL33" s="191"/>
      <c r="BM33" s="365"/>
      <c r="BN33" s="365"/>
      <c r="BO33" s="365"/>
      <c r="BP33" s="365"/>
      <c r="BQ33" s="365"/>
      <c r="BR33" s="365"/>
      <c r="BS33" s="365"/>
      <c r="BT33" s="365"/>
      <c r="BU33" s="365"/>
      <c r="BV33" s="365"/>
      <c r="BW33" s="365"/>
      <c r="BX33" s="365"/>
      <c r="BY33" s="365"/>
      <c r="BZ33" s="365"/>
      <c r="CA33" s="365"/>
      <c r="CB33" s="365"/>
      <c r="CC33" s="365"/>
      <c r="CD33" s="365"/>
      <c r="CE33" s="365"/>
      <c r="CF33" s="365"/>
      <c r="CG33" s="365"/>
      <c r="CH33" s="365"/>
      <c r="CI33" s="365"/>
      <c r="CJ33" s="365"/>
      <c r="CK33" s="365"/>
      <c r="CL33" s="365"/>
      <c r="CM33" s="365"/>
      <c r="CN33" s="365"/>
      <c r="CO33" s="365"/>
      <c r="CP33" s="365"/>
      <c r="CQ33" s="365"/>
      <c r="CR33" s="365"/>
      <c r="CS33" s="365"/>
      <c r="CT33" s="365"/>
      <c r="CU33" s="365"/>
      <c r="CV33" s="365"/>
      <c r="CW33" s="365"/>
      <c r="CX33" s="365"/>
      <c r="CY33" s="365"/>
      <c r="CZ33" s="365"/>
      <c r="DA33" s="365"/>
      <c r="DB33" s="365"/>
      <c r="DC33" s="365"/>
      <c r="DD33" s="365"/>
      <c r="DE33" s="365"/>
      <c r="DF33" s="365"/>
      <c r="DG33" s="365"/>
      <c r="DH33" s="365"/>
      <c r="DI33" s="365"/>
      <c r="DJ33" s="365"/>
      <c r="DK33" s="365"/>
      <c r="DL33" s="365"/>
      <c r="DM33" s="365"/>
      <c r="DN33" s="365"/>
      <c r="DO33" s="365"/>
      <c r="DP33" s="365"/>
      <c r="DQ33" s="2"/>
      <c r="DR33" s="2"/>
      <c r="DS33" s="192"/>
    </row>
    <row r="34" spans="2:123" ht="9.4499999999999993" customHeight="1" x14ac:dyDescent="0.3">
      <c r="B34" s="191"/>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192"/>
      <c r="BL34" s="191"/>
      <c r="BM34" s="365"/>
      <c r="BN34" s="365"/>
      <c r="BO34" s="365"/>
      <c r="BP34" s="365"/>
      <c r="BQ34" s="365"/>
      <c r="BR34" s="365"/>
      <c r="BS34" s="365"/>
      <c r="BT34" s="365"/>
      <c r="BU34" s="365"/>
      <c r="BV34" s="365"/>
      <c r="BW34" s="365"/>
      <c r="BX34" s="365"/>
      <c r="BY34" s="365"/>
      <c r="BZ34" s="365"/>
      <c r="CA34" s="365"/>
      <c r="CB34" s="365"/>
      <c r="CC34" s="365"/>
      <c r="CD34" s="365"/>
      <c r="CE34" s="365"/>
      <c r="CF34" s="365"/>
      <c r="CG34" s="365"/>
      <c r="CH34" s="365"/>
      <c r="CI34" s="365"/>
      <c r="CJ34" s="365"/>
      <c r="CK34" s="365"/>
      <c r="CL34" s="365"/>
      <c r="CM34" s="365"/>
      <c r="CN34" s="365"/>
      <c r="CO34" s="365"/>
      <c r="CP34" s="365"/>
      <c r="CQ34" s="365"/>
      <c r="CR34" s="365"/>
      <c r="CS34" s="365"/>
      <c r="CT34" s="365"/>
      <c r="CU34" s="365"/>
      <c r="CV34" s="365"/>
      <c r="CW34" s="365"/>
      <c r="CX34" s="365"/>
      <c r="CY34" s="365"/>
      <c r="CZ34" s="365"/>
      <c r="DA34" s="365"/>
      <c r="DB34" s="365"/>
      <c r="DC34" s="365"/>
      <c r="DD34" s="365"/>
      <c r="DE34" s="365"/>
      <c r="DF34" s="365"/>
      <c r="DG34" s="365"/>
      <c r="DH34" s="365"/>
      <c r="DI34" s="365"/>
      <c r="DJ34" s="365"/>
      <c r="DK34" s="365"/>
      <c r="DL34" s="365"/>
      <c r="DM34" s="365"/>
      <c r="DN34" s="365"/>
      <c r="DO34" s="365"/>
      <c r="DP34" s="365"/>
      <c r="DQ34" s="2"/>
      <c r="DR34" s="2"/>
      <c r="DS34" s="192"/>
    </row>
    <row r="35" spans="2:123" ht="9.4499999999999993" customHeight="1" x14ac:dyDescent="0.3">
      <c r="B35" s="191"/>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192"/>
      <c r="BL35" s="191"/>
      <c r="BM35" s="365"/>
      <c r="BN35" s="365"/>
      <c r="BO35" s="365"/>
      <c r="BP35" s="365"/>
      <c r="BQ35" s="365"/>
      <c r="BR35" s="365"/>
      <c r="BS35" s="365"/>
      <c r="BT35" s="365"/>
      <c r="BU35" s="365"/>
      <c r="BV35" s="365"/>
      <c r="BW35" s="365"/>
      <c r="BX35" s="365"/>
      <c r="BY35" s="365"/>
      <c r="BZ35" s="365"/>
      <c r="CA35" s="365"/>
      <c r="CB35" s="365"/>
      <c r="CC35" s="365"/>
      <c r="CD35" s="365"/>
      <c r="CE35" s="365"/>
      <c r="CF35" s="365"/>
      <c r="CG35" s="365"/>
      <c r="CH35" s="365"/>
      <c r="CI35" s="365"/>
      <c r="CJ35" s="365"/>
      <c r="CK35" s="365"/>
      <c r="CL35" s="365"/>
      <c r="CM35" s="365"/>
      <c r="CN35" s="365"/>
      <c r="CO35" s="365"/>
      <c r="CP35" s="365"/>
      <c r="CQ35" s="365"/>
      <c r="CR35" s="365"/>
      <c r="CS35" s="365"/>
      <c r="CT35" s="365"/>
      <c r="CU35" s="365"/>
      <c r="CV35" s="365"/>
      <c r="CW35" s="365"/>
      <c r="CX35" s="365"/>
      <c r="CY35" s="365"/>
      <c r="CZ35" s="365"/>
      <c r="DA35" s="365"/>
      <c r="DB35" s="365"/>
      <c r="DC35" s="365"/>
      <c r="DD35" s="365"/>
      <c r="DE35" s="365"/>
      <c r="DF35" s="365"/>
      <c r="DG35" s="365"/>
      <c r="DH35" s="365"/>
      <c r="DI35" s="365"/>
      <c r="DJ35" s="365"/>
      <c r="DK35" s="365"/>
      <c r="DL35" s="365"/>
      <c r="DM35" s="365"/>
      <c r="DN35" s="365"/>
      <c r="DO35" s="365"/>
      <c r="DP35" s="365"/>
      <c r="DQ35" s="2"/>
      <c r="DR35" s="2"/>
      <c r="DS35" s="192"/>
    </row>
    <row r="36" spans="2:123" ht="9.4499999999999993" customHeight="1" x14ac:dyDescent="0.3">
      <c r="B36" s="191"/>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192"/>
      <c r="BL36" s="191"/>
      <c r="DQ36" s="2"/>
      <c r="DR36" s="2"/>
      <c r="DS36" s="192"/>
    </row>
    <row r="37" spans="2:123" ht="9.4499999999999993" customHeight="1" x14ac:dyDescent="0.3">
      <c r="B37" s="191"/>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192"/>
      <c r="BL37" s="191"/>
      <c r="BM37" s="368" t="s">
        <v>16</v>
      </c>
      <c r="BN37" s="368"/>
      <c r="BO37" s="368"/>
      <c r="BP37" s="368"/>
      <c r="BQ37" s="368"/>
      <c r="BR37" s="368"/>
      <c r="BS37" s="368"/>
      <c r="BT37" s="368"/>
      <c r="BU37" s="368"/>
      <c r="BV37" s="368"/>
      <c r="BW37" s="368"/>
      <c r="BX37" s="368"/>
      <c r="BY37" s="368"/>
      <c r="BZ37" s="368"/>
      <c r="CA37" s="368"/>
      <c r="CB37" s="368"/>
      <c r="CC37" s="368"/>
      <c r="CD37" s="368"/>
      <c r="CE37" s="368"/>
      <c r="CF37" s="368"/>
      <c r="CG37" s="368"/>
      <c r="CH37" s="368"/>
      <c r="CI37" s="368"/>
      <c r="CJ37" s="368"/>
      <c r="CK37" s="368"/>
      <c r="CL37" s="368"/>
      <c r="CM37" s="368"/>
      <c r="CN37" s="368"/>
      <c r="CO37" s="368"/>
      <c r="CP37" s="368"/>
      <c r="CQ37" s="368"/>
      <c r="CR37" s="368"/>
      <c r="CS37" s="368"/>
      <c r="CT37" s="368"/>
      <c r="CU37" s="368"/>
      <c r="CV37" s="368"/>
      <c r="CW37" s="368"/>
      <c r="CX37" s="368"/>
      <c r="CY37" s="368"/>
      <c r="CZ37" s="368"/>
      <c r="DA37" s="368"/>
      <c r="DB37" s="368"/>
      <c r="DC37" s="368"/>
      <c r="DD37" s="368"/>
      <c r="DE37" s="368"/>
      <c r="DF37" s="368"/>
      <c r="DG37" s="368"/>
      <c r="DH37" s="368"/>
      <c r="DI37" s="368"/>
      <c r="DJ37" s="368"/>
      <c r="DK37" s="368"/>
      <c r="DL37" s="368"/>
      <c r="DM37" s="368"/>
      <c r="DN37" s="368"/>
      <c r="DO37" s="368"/>
      <c r="DP37" s="368"/>
      <c r="DQ37" s="2"/>
      <c r="DR37" s="2"/>
      <c r="DS37" s="192"/>
    </row>
    <row r="38" spans="2:123" ht="9.4499999999999993" customHeight="1" x14ac:dyDescent="0.3">
      <c r="B38" s="191"/>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192"/>
      <c r="BL38" s="191"/>
      <c r="BM38" s="368"/>
      <c r="BN38" s="368"/>
      <c r="BO38" s="368"/>
      <c r="BP38" s="368"/>
      <c r="BQ38" s="368"/>
      <c r="BR38" s="368"/>
      <c r="BS38" s="368"/>
      <c r="BT38" s="368"/>
      <c r="BU38" s="368"/>
      <c r="BV38" s="368"/>
      <c r="BW38" s="368"/>
      <c r="BX38" s="368"/>
      <c r="BY38" s="368"/>
      <c r="BZ38" s="368"/>
      <c r="CA38" s="368"/>
      <c r="CB38" s="368"/>
      <c r="CC38" s="368"/>
      <c r="CD38" s="368"/>
      <c r="CE38" s="368"/>
      <c r="CF38" s="368"/>
      <c r="CG38" s="368"/>
      <c r="CH38" s="368"/>
      <c r="CI38" s="368"/>
      <c r="CJ38" s="368"/>
      <c r="CK38" s="368"/>
      <c r="CL38" s="368"/>
      <c r="CM38" s="368"/>
      <c r="CN38" s="368"/>
      <c r="CO38" s="368"/>
      <c r="CP38" s="368"/>
      <c r="CQ38" s="368"/>
      <c r="CR38" s="368"/>
      <c r="CS38" s="368"/>
      <c r="CT38" s="368"/>
      <c r="CU38" s="368"/>
      <c r="CV38" s="368"/>
      <c r="CW38" s="368"/>
      <c r="CX38" s="368"/>
      <c r="CY38" s="368"/>
      <c r="CZ38" s="368"/>
      <c r="DA38" s="368"/>
      <c r="DB38" s="368"/>
      <c r="DC38" s="368"/>
      <c r="DD38" s="368"/>
      <c r="DE38" s="368"/>
      <c r="DF38" s="368"/>
      <c r="DG38" s="368"/>
      <c r="DH38" s="368"/>
      <c r="DI38" s="368"/>
      <c r="DJ38" s="368"/>
      <c r="DK38" s="368"/>
      <c r="DL38" s="368"/>
      <c r="DM38" s="368"/>
      <c r="DN38" s="368"/>
      <c r="DO38" s="368"/>
      <c r="DP38" s="368"/>
      <c r="DQ38" s="2"/>
      <c r="DR38" s="2"/>
      <c r="DS38" s="192"/>
    </row>
    <row r="39" spans="2:123" ht="9.4499999999999993" customHeight="1" x14ac:dyDescent="0.3">
      <c r="B39" s="191"/>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192"/>
      <c r="BL39" s="191"/>
      <c r="BM39" s="366" t="s">
        <v>134</v>
      </c>
      <c r="BN39" s="366"/>
      <c r="BO39" s="366"/>
      <c r="BP39" s="366"/>
      <c r="BQ39" s="366"/>
      <c r="BR39" s="366"/>
      <c r="BS39" s="366"/>
      <c r="BT39" s="366"/>
      <c r="BU39" s="366"/>
      <c r="BV39" s="366"/>
      <c r="BW39" s="366"/>
      <c r="BX39" s="366"/>
      <c r="BY39" s="366"/>
      <c r="BZ39" s="366"/>
      <c r="CA39" s="366"/>
      <c r="CB39" s="366"/>
      <c r="CC39" s="366"/>
      <c r="CD39" s="366"/>
      <c r="CE39" s="366"/>
      <c r="CF39" s="366"/>
      <c r="CG39" s="366"/>
      <c r="CH39" s="366"/>
      <c r="CI39" s="366"/>
      <c r="CJ39" s="366"/>
      <c r="CK39" s="366"/>
      <c r="CL39" s="366"/>
      <c r="CM39" s="366"/>
      <c r="CN39" s="366"/>
      <c r="CO39" s="366"/>
      <c r="CP39" s="366"/>
      <c r="CQ39" s="366"/>
      <c r="CR39" s="366"/>
      <c r="CS39" s="366"/>
      <c r="CT39" s="366"/>
      <c r="CU39" s="366"/>
      <c r="CV39" s="366"/>
      <c r="CW39" s="366"/>
      <c r="CX39" s="366"/>
      <c r="CY39" s="366"/>
      <c r="CZ39" s="366"/>
      <c r="DA39" s="366"/>
      <c r="DB39" s="366"/>
      <c r="DC39" s="366"/>
      <c r="DD39" s="366"/>
      <c r="DE39" s="366"/>
      <c r="DF39" s="366"/>
      <c r="DG39" s="366"/>
      <c r="DH39" s="366"/>
      <c r="DI39" s="366"/>
      <c r="DJ39" s="366"/>
      <c r="DK39" s="366"/>
      <c r="DL39" s="366"/>
      <c r="DM39" s="366"/>
      <c r="DN39" s="366"/>
      <c r="DO39" s="366"/>
      <c r="DP39" s="366"/>
      <c r="DQ39" s="2"/>
      <c r="DR39" s="2"/>
      <c r="DS39" s="192"/>
    </row>
    <row r="40" spans="2:123" ht="9.4499999999999993" customHeight="1" x14ac:dyDescent="0.3">
      <c r="B40" s="191"/>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192"/>
      <c r="BL40" s="191"/>
      <c r="BM40" s="366"/>
      <c r="BN40" s="366"/>
      <c r="BO40" s="366"/>
      <c r="BP40" s="366"/>
      <c r="BQ40" s="366"/>
      <c r="BR40" s="366"/>
      <c r="BS40" s="366"/>
      <c r="BT40" s="366"/>
      <c r="BU40" s="366"/>
      <c r="BV40" s="366"/>
      <c r="BW40" s="366"/>
      <c r="BX40" s="366"/>
      <c r="BY40" s="366"/>
      <c r="BZ40" s="366"/>
      <c r="CA40" s="366"/>
      <c r="CB40" s="366"/>
      <c r="CC40" s="366"/>
      <c r="CD40" s="366"/>
      <c r="CE40" s="366"/>
      <c r="CF40" s="366"/>
      <c r="CG40" s="366"/>
      <c r="CH40" s="366"/>
      <c r="CI40" s="366"/>
      <c r="CJ40" s="366"/>
      <c r="CK40" s="366"/>
      <c r="CL40" s="366"/>
      <c r="CM40" s="366"/>
      <c r="CN40" s="366"/>
      <c r="CO40" s="366"/>
      <c r="CP40" s="366"/>
      <c r="CQ40" s="366"/>
      <c r="CR40" s="366"/>
      <c r="CS40" s="366"/>
      <c r="CT40" s="366"/>
      <c r="CU40" s="366"/>
      <c r="CV40" s="366"/>
      <c r="CW40" s="366"/>
      <c r="CX40" s="366"/>
      <c r="CY40" s="366"/>
      <c r="CZ40" s="366"/>
      <c r="DA40" s="366"/>
      <c r="DB40" s="366"/>
      <c r="DC40" s="366"/>
      <c r="DD40" s="366"/>
      <c r="DE40" s="366"/>
      <c r="DF40" s="366"/>
      <c r="DG40" s="366"/>
      <c r="DH40" s="366"/>
      <c r="DI40" s="366"/>
      <c r="DJ40" s="366"/>
      <c r="DK40" s="366"/>
      <c r="DL40" s="366"/>
      <c r="DM40" s="366"/>
      <c r="DN40" s="366"/>
      <c r="DO40" s="366"/>
      <c r="DP40" s="366"/>
      <c r="DQ40" s="2"/>
      <c r="DR40" s="2"/>
      <c r="DS40" s="192"/>
    </row>
    <row r="41" spans="2:123" ht="9.4499999999999993" customHeight="1" x14ac:dyDescent="0.3">
      <c r="B41" s="191"/>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192"/>
      <c r="BL41" s="191"/>
      <c r="BM41" s="366" t="s">
        <v>448</v>
      </c>
      <c r="BN41" s="366"/>
      <c r="BO41" s="366"/>
      <c r="BP41" s="366"/>
      <c r="BQ41" s="366"/>
      <c r="BR41" s="366"/>
      <c r="BS41" s="366"/>
      <c r="BT41" s="366"/>
      <c r="BU41" s="366"/>
      <c r="BV41" s="366"/>
      <c r="BW41" s="366"/>
      <c r="BX41" s="366"/>
      <c r="BY41" s="366"/>
      <c r="BZ41" s="366"/>
      <c r="CA41" s="366"/>
      <c r="CB41" s="366"/>
      <c r="CC41" s="366"/>
      <c r="CD41" s="366"/>
      <c r="CE41" s="366"/>
      <c r="CF41" s="366"/>
      <c r="CG41" s="366"/>
      <c r="CH41" s="366"/>
      <c r="CI41" s="366"/>
      <c r="CJ41" s="366"/>
      <c r="CK41" s="366"/>
      <c r="CL41" s="366"/>
      <c r="CM41" s="366"/>
      <c r="CN41" s="366"/>
      <c r="CO41" s="366"/>
      <c r="CP41" s="366"/>
      <c r="CQ41" s="366"/>
      <c r="CR41" s="366"/>
      <c r="CS41" s="366"/>
      <c r="CT41" s="366"/>
      <c r="CU41" s="366"/>
      <c r="CV41" s="366"/>
      <c r="CW41" s="366"/>
      <c r="CX41" s="366"/>
      <c r="CY41" s="366"/>
      <c r="CZ41" s="366"/>
      <c r="DA41" s="366"/>
      <c r="DB41" s="366"/>
      <c r="DC41" s="366"/>
      <c r="DD41" s="366"/>
      <c r="DE41" s="366"/>
      <c r="DF41" s="366"/>
      <c r="DG41" s="366"/>
      <c r="DH41" s="366"/>
      <c r="DI41" s="366"/>
      <c r="DJ41" s="366"/>
      <c r="DK41" s="366"/>
      <c r="DL41" s="366"/>
      <c r="DM41" s="366"/>
      <c r="DN41" s="366"/>
      <c r="DO41" s="366"/>
      <c r="DP41" s="366"/>
      <c r="DQ41" s="2"/>
      <c r="DR41" s="2"/>
      <c r="DS41" s="192"/>
    </row>
    <row r="42" spans="2:123" ht="9.4499999999999993" customHeight="1" x14ac:dyDescent="0.3">
      <c r="B42" s="191"/>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192"/>
      <c r="BL42" s="191"/>
      <c r="BM42" s="366"/>
      <c r="BN42" s="366"/>
      <c r="BO42" s="366"/>
      <c r="BP42" s="366"/>
      <c r="BQ42" s="366"/>
      <c r="BR42" s="366"/>
      <c r="BS42" s="366"/>
      <c r="BT42" s="366"/>
      <c r="BU42" s="366"/>
      <c r="BV42" s="366"/>
      <c r="BW42" s="366"/>
      <c r="BX42" s="366"/>
      <c r="BY42" s="366"/>
      <c r="BZ42" s="366"/>
      <c r="CA42" s="366"/>
      <c r="CB42" s="366"/>
      <c r="CC42" s="366"/>
      <c r="CD42" s="366"/>
      <c r="CE42" s="366"/>
      <c r="CF42" s="366"/>
      <c r="CG42" s="366"/>
      <c r="CH42" s="366"/>
      <c r="CI42" s="366"/>
      <c r="CJ42" s="366"/>
      <c r="CK42" s="366"/>
      <c r="CL42" s="366"/>
      <c r="CM42" s="366"/>
      <c r="CN42" s="366"/>
      <c r="CO42" s="366"/>
      <c r="CP42" s="366"/>
      <c r="CQ42" s="366"/>
      <c r="CR42" s="366"/>
      <c r="CS42" s="366"/>
      <c r="CT42" s="366"/>
      <c r="CU42" s="366"/>
      <c r="CV42" s="366"/>
      <c r="CW42" s="366"/>
      <c r="CX42" s="366"/>
      <c r="CY42" s="366"/>
      <c r="CZ42" s="366"/>
      <c r="DA42" s="366"/>
      <c r="DB42" s="366"/>
      <c r="DC42" s="366"/>
      <c r="DD42" s="366"/>
      <c r="DE42" s="366"/>
      <c r="DF42" s="366"/>
      <c r="DG42" s="366"/>
      <c r="DH42" s="366"/>
      <c r="DI42" s="366"/>
      <c r="DJ42" s="366"/>
      <c r="DK42" s="366"/>
      <c r="DL42" s="366"/>
      <c r="DM42" s="366"/>
      <c r="DN42" s="366"/>
      <c r="DO42" s="366"/>
      <c r="DP42" s="366"/>
      <c r="DQ42" s="2"/>
      <c r="DR42" s="2"/>
      <c r="DS42" s="192"/>
    </row>
    <row r="43" spans="2:123" ht="9.4499999999999993" customHeight="1" x14ac:dyDescent="0.3">
      <c r="B43" s="191"/>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192"/>
      <c r="BL43" s="191"/>
      <c r="BM43" s="366" t="s">
        <v>451</v>
      </c>
      <c r="BN43" s="366"/>
      <c r="BO43" s="366"/>
      <c r="BP43" s="366"/>
      <c r="BQ43" s="366"/>
      <c r="BR43" s="366"/>
      <c r="BS43" s="366"/>
      <c r="BT43" s="366"/>
      <c r="BU43" s="366"/>
      <c r="BV43" s="366"/>
      <c r="BW43" s="366"/>
      <c r="BX43" s="366"/>
      <c r="BY43" s="366"/>
      <c r="BZ43" s="366"/>
      <c r="CA43" s="366"/>
      <c r="CB43" s="366"/>
      <c r="CC43" s="366"/>
      <c r="CD43" s="366"/>
      <c r="CE43" s="366"/>
      <c r="CF43" s="366"/>
      <c r="CG43" s="366"/>
      <c r="CH43" s="366"/>
      <c r="CI43" s="366"/>
      <c r="CJ43" s="366"/>
      <c r="CK43" s="366"/>
      <c r="CL43" s="366"/>
      <c r="CM43" s="366"/>
      <c r="CN43" s="366"/>
      <c r="CO43" s="366"/>
      <c r="CP43" s="366"/>
      <c r="CQ43" s="366"/>
      <c r="CR43" s="366"/>
      <c r="CS43" s="366"/>
      <c r="CT43" s="366"/>
      <c r="CU43" s="366"/>
      <c r="CV43" s="366"/>
      <c r="CW43" s="366"/>
      <c r="CX43" s="366"/>
      <c r="CY43" s="366"/>
      <c r="CZ43" s="366"/>
      <c r="DA43" s="366"/>
      <c r="DB43" s="366"/>
      <c r="DC43" s="366"/>
      <c r="DD43" s="366"/>
      <c r="DE43" s="366"/>
      <c r="DF43" s="366"/>
      <c r="DG43" s="366"/>
      <c r="DH43" s="366"/>
      <c r="DI43" s="366"/>
      <c r="DJ43" s="366"/>
      <c r="DK43" s="366"/>
      <c r="DL43" s="366"/>
      <c r="DM43" s="366"/>
      <c r="DN43" s="366"/>
      <c r="DO43" s="366"/>
      <c r="DP43" s="366"/>
      <c r="DQ43" s="2"/>
      <c r="DR43" s="2"/>
      <c r="DS43" s="192"/>
    </row>
    <row r="44" spans="2:123" ht="9.4499999999999993" customHeight="1" x14ac:dyDescent="0.3">
      <c r="B44" s="191"/>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192"/>
      <c r="BL44" s="191"/>
      <c r="BM44" s="366"/>
      <c r="BN44" s="366"/>
      <c r="BO44" s="366"/>
      <c r="BP44" s="366"/>
      <c r="BQ44" s="366"/>
      <c r="BR44" s="366"/>
      <c r="BS44" s="366"/>
      <c r="BT44" s="366"/>
      <c r="BU44" s="366"/>
      <c r="BV44" s="366"/>
      <c r="BW44" s="366"/>
      <c r="BX44" s="366"/>
      <c r="BY44" s="366"/>
      <c r="BZ44" s="366"/>
      <c r="CA44" s="366"/>
      <c r="CB44" s="366"/>
      <c r="CC44" s="366"/>
      <c r="CD44" s="366"/>
      <c r="CE44" s="366"/>
      <c r="CF44" s="366"/>
      <c r="CG44" s="366"/>
      <c r="CH44" s="366"/>
      <c r="CI44" s="366"/>
      <c r="CJ44" s="366"/>
      <c r="CK44" s="366"/>
      <c r="CL44" s="366"/>
      <c r="CM44" s="366"/>
      <c r="CN44" s="366"/>
      <c r="CO44" s="366"/>
      <c r="CP44" s="366"/>
      <c r="CQ44" s="366"/>
      <c r="CR44" s="366"/>
      <c r="CS44" s="366"/>
      <c r="CT44" s="366"/>
      <c r="CU44" s="366"/>
      <c r="CV44" s="366"/>
      <c r="CW44" s="366"/>
      <c r="CX44" s="366"/>
      <c r="CY44" s="366"/>
      <c r="CZ44" s="366"/>
      <c r="DA44" s="366"/>
      <c r="DB44" s="366"/>
      <c r="DC44" s="366"/>
      <c r="DD44" s="366"/>
      <c r="DE44" s="366"/>
      <c r="DF44" s="366"/>
      <c r="DG44" s="366"/>
      <c r="DH44" s="366"/>
      <c r="DI44" s="366"/>
      <c r="DJ44" s="366"/>
      <c r="DK44" s="366"/>
      <c r="DL44" s="366"/>
      <c r="DM44" s="366"/>
      <c r="DN44" s="366"/>
      <c r="DO44" s="366"/>
      <c r="DP44" s="366"/>
      <c r="DQ44" s="2"/>
      <c r="DR44" s="2"/>
      <c r="DS44" s="192"/>
    </row>
    <row r="45" spans="2:123" ht="9.4499999999999993" customHeight="1" x14ac:dyDescent="0.3">
      <c r="B45" s="191"/>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192"/>
      <c r="BL45" s="191"/>
      <c r="BM45" s="366"/>
      <c r="BN45" s="366"/>
      <c r="BO45" s="366"/>
      <c r="BP45" s="366"/>
      <c r="BQ45" s="366"/>
      <c r="BR45" s="366"/>
      <c r="BS45" s="366"/>
      <c r="BT45" s="366"/>
      <c r="BU45" s="366"/>
      <c r="BV45" s="366"/>
      <c r="BW45" s="366"/>
      <c r="BX45" s="366"/>
      <c r="BY45" s="366"/>
      <c r="BZ45" s="366"/>
      <c r="CA45" s="366"/>
      <c r="CB45" s="366"/>
      <c r="CC45" s="366"/>
      <c r="CD45" s="366"/>
      <c r="CE45" s="366"/>
      <c r="CF45" s="366"/>
      <c r="CG45" s="366"/>
      <c r="CH45" s="366"/>
      <c r="CI45" s="366"/>
      <c r="CJ45" s="366"/>
      <c r="CK45" s="366"/>
      <c r="CL45" s="366"/>
      <c r="CM45" s="366"/>
      <c r="CN45" s="366"/>
      <c r="CO45" s="366"/>
      <c r="CP45" s="366"/>
      <c r="CQ45" s="366"/>
      <c r="CR45" s="366"/>
      <c r="CS45" s="366"/>
      <c r="CT45" s="366"/>
      <c r="CU45" s="366"/>
      <c r="CV45" s="366"/>
      <c r="CW45" s="366"/>
      <c r="CX45" s="366"/>
      <c r="CY45" s="366"/>
      <c r="CZ45" s="366"/>
      <c r="DA45" s="366"/>
      <c r="DB45" s="366"/>
      <c r="DC45" s="366"/>
      <c r="DD45" s="366"/>
      <c r="DE45" s="366"/>
      <c r="DF45" s="366"/>
      <c r="DG45" s="366"/>
      <c r="DH45" s="366"/>
      <c r="DI45" s="366"/>
      <c r="DJ45" s="366"/>
      <c r="DK45" s="366"/>
      <c r="DL45" s="366"/>
      <c r="DM45" s="366"/>
      <c r="DN45" s="366"/>
      <c r="DO45" s="366"/>
      <c r="DP45" s="366"/>
      <c r="DQ45" s="2"/>
      <c r="DR45" s="2"/>
      <c r="DS45" s="192"/>
    </row>
    <row r="46" spans="2:123" ht="9.4499999999999993" customHeight="1" x14ac:dyDescent="0.3">
      <c r="B46" s="191"/>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192"/>
      <c r="BL46" s="191"/>
      <c r="BM46" s="375" t="s">
        <v>453</v>
      </c>
      <c r="BN46" s="366"/>
      <c r="BO46" s="366"/>
      <c r="BP46" s="366"/>
      <c r="BQ46" s="366"/>
      <c r="BR46" s="366"/>
      <c r="BS46" s="366"/>
      <c r="BT46" s="366"/>
      <c r="BU46" s="366"/>
      <c r="BV46" s="366"/>
      <c r="BW46" s="366"/>
      <c r="BX46" s="366"/>
      <c r="BY46" s="366"/>
      <c r="BZ46" s="366"/>
      <c r="CA46" s="366"/>
      <c r="CB46" s="366"/>
      <c r="CC46" s="366"/>
      <c r="CD46" s="366"/>
      <c r="CE46" s="366"/>
      <c r="CF46" s="366"/>
      <c r="CG46" s="366"/>
      <c r="CH46" s="366"/>
      <c r="CI46" s="366"/>
      <c r="CJ46" s="366"/>
      <c r="CK46" s="366"/>
      <c r="CL46" s="366"/>
      <c r="CM46" s="366"/>
      <c r="CN46" s="366"/>
      <c r="CO46" s="366"/>
      <c r="CP46" s="366"/>
      <c r="CQ46" s="366"/>
      <c r="CR46" s="366"/>
      <c r="CS46" s="366"/>
      <c r="CT46" s="366"/>
      <c r="CU46" s="366"/>
      <c r="CV46" s="366"/>
      <c r="CW46" s="366"/>
      <c r="CX46" s="366"/>
      <c r="CY46" s="366"/>
      <c r="CZ46" s="366"/>
      <c r="DA46" s="366"/>
      <c r="DB46" s="366"/>
      <c r="DC46" s="366"/>
      <c r="DD46" s="366"/>
      <c r="DE46" s="366"/>
      <c r="DF46" s="366"/>
      <c r="DG46" s="366"/>
      <c r="DH46" s="366"/>
      <c r="DI46" s="366"/>
      <c r="DJ46" s="366"/>
      <c r="DK46" s="366"/>
      <c r="DL46" s="366"/>
      <c r="DM46" s="366"/>
      <c r="DN46" s="366"/>
      <c r="DO46" s="366"/>
      <c r="DP46" s="366"/>
      <c r="DQ46" s="2"/>
      <c r="DR46" s="2"/>
      <c r="DS46" s="192"/>
    </row>
    <row r="47" spans="2:123" ht="9.4499999999999993" customHeight="1" x14ac:dyDescent="0.3">
      <c r="B47" s="191"/>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192"/>
      <c r="BL47" s="191"/>
      <c r="BM47" s="366"/>
      <c r="BN47" s="366"/>
      <c r="BO47" s="366"/>
      <c r="BP47" s="366"/>
      <c r="BQ47" s="366"/>
      <c r="BR47" s="366"/>
      <c r="BS47" s="366"/>
      <c r="BT47" s="366"/>
      <c r="BU47" s="366"/>
      <c r="BV47" s="366"/>
      <c r="BW47" s="366"/>
      <c r="BX47" s="366"/>
      <c r="BY47" s="366"/>
      <c r="BZ47" s="366"/>
      <c r="CA47" s="366"/>
      <c r="CB47" s="366"/>
      <c r="CC47" s="366"/>
      <c r="CD47" s="366"/>
      <c r="CE47" s="366"/>
      <c r="CF47" s="366"/>
      <c r="CG47" s="366"/>
      <c r="CH47" s="366"/>
      <c r="CI47" s="366"/>
      <c r="CJ47" s="366"/>
      <c r="CK47" s="366"/>
      <c r="CL47" s="366"/>
      <c r="CM47" s="366"/>
      <c r="CN47" s="366"/>
      <c r="CO47" s="366"/>
      <c r="CP47" s="366"/>
      <c r="CQ47" s="366"/>
      <c r="CR47" s="366"/>
      <c r="CS47" s="366"/>
      <c r="CT47" s="366"/>
      <c r="CU47" s="366"/>
      <c r="CV47" s="366"/>
      <c r="CW47" s="366"/>
      <c r="CX47" s="366"/>
      <c r="CY47" s="366"/>
      <c r="CZ47" s="366"/>
      <c r="DA47" s="366"/>
      <c r="DB47" s="366"/>
      <c r="DC47" s="366"/>
      <c r="DD47" s="366"/>
      <c r="DE47" s="366"/>
      <c r="DF47" s="366"/>
      <c r="DG47" s="366"/>
      <c r="DH47" s="366"/>
      <c r="DI47" s="366"/>
      <c r="DJ47" s="366"/>
      <c r="DK47" s="366"/>
      <c r="DL47" s="366"/>
      <c r="DM47" s="366"/>
      <c r="DN47" s="366"/>
      <c r="DO47" s="366"/>
      <c r="DP47" s="366"/>
      <c r="DQ47" s="2"/>
      <c r="DR47" s="2"/>
      <c r="DS47" s="192"/>
    </row>
    <row r="48" spans="2:123" ht="9.4499999999999993" customHeight="1" x14ac:dyDescent="0.3">
      <c r="B48" s="191"/>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192"/>
      <c r="BL48" s="191"/>
      <c r="BM48" s="366"/>
      <c r="BN48" s="366"/>
      <c r="BO48" s="366"/>
      <c r="BP48" s="366"/>
      <c r="BQ48" s="366"/>
      <c r="BR48" s="366"/>
      <c r="BS48" s="366"/>
      <c r="BT48" s="366"/>
      <c r="BU48" s="366"/>
      <c r="BV48" s="366"/>
      <c r="BW48" s="366"/>
      <c r="BX48" s="366"/>
      <c r="BY48" s="366"/>
      <c r="BZ48" s="366"/>
      <c r="CA48" s="366"/>
      <c r="CB48" s="366"/>
      <c r="CC48" s="366"/>
      <c r="CD48" s="366"/>
      <c r="CE48" s="366"/>
      <c r="CF48" s="366"/>
      <c r="CG48" s="366"/>
      <c r="CH48" s="366"/>
      <c r="CI48" s="366"/>
      <c r="CJ48" s="366"/>
      <c r="CK48" s="366"/>
      <c r="CL48" s="366"/>
      <c r="CM48" s="366"/>
      <c r="CN48" s="366"/>
      <c r="CO48" s="366"/>
      <c r="CP48" s="366"/>
      <c r="CQ48" s="366"/>
      <c r="CR48" s="366"/>
      <c r="CS48" s="366"/>
      <c r="CT48" s="366"/>
      <c r="CU48" s="366"/>
      <c r="CV48" s="366"/>
      <c r="CW48" s="366"/>
      <c r="CX48" s="366"/>
      <c r="CY48" s="366"/>
      <c r="CZ48" s="366"/>
      <c r="DA48" s="366"/>
      <c r="DB48" s="366"/>
      <c r="DC48" s="366"/>
      <c r="DD48" s="366"/>
      <c r="DE48" s="366"/>
      <c r="DF48" s="366"/>
      <c r="DG48" s="366"/>
      <c r="DH48" s="366"/>
      <c r="DI48" s="366"/>
      <c r="DJ48" s="366"/>
      <c r="DK48" s="366"/>
      <c r="DL48" s="366"/>
      <c r="DM48" s="366"/>
      <c r="DN48" s="366"/>
      <c r="DO48" s="366"/>
      <c r="DP48" s="366"/>
      <c r="DQ48" s="2"/>
      <c r="DR48" s="2"/>
      <c r="DS48" s="192"/>
    </row>
    <row r="49" spans="2:123" ht="9.4499999999999993" customHeight="1" x14ac:dyDescent="0.3">
      <c r="B49" s="191"/>
      <c r="C49" s="2"/>
      <c r="D49" s="2"/>
      <c r="E49" s="2"/>
      <c r="F49" s="2"/>
      <c r="G49" s="2"/>
      <c r="H49" s="2"/>
      <c r="I49" s="2"/>
      <c r="J49" s="2"/>
      <c r="K49" s="2"/>
      <c r="L49" s="2"/>
      <c r="M49" s="2"/>
      <c r="N49" s="2"/>
      <c r="O49" s="2"/>
      <c r="P49" s="2"/>
      <c r="Q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192"/>
      <c r="BL49" s="191"/>
      <c r="BM49" s="366" t="s">
        <v>452</v>
      </c>
      <c r="BN49" s="366"/>
      <c r="BO49" s="366"/>
      <c r="BP49" s="366"/>
      <c r="BQ49" s="366"/>
      <c r="BR49" s="366"/>
      <c r="BS49" s="366"/>
      <c r="BT49" s="366"/>
      <c r="BU49" s="366"/>
      <c r="BV49" s="366"/>
      <c r="BW49" s="366"/>
      <c r="BX49" s="366"/>
      <c r="BY49" s="366"/>
      <c r="BZ49" s="366"/>
      <c r="CA49" s="366"/>
      <c r="CB49" s="366"/>
      <c r="CC49" s="366"/>
      <c r="CD49" s="366"/>
      <c r="CE49" s="366"/>
      <c r="CF49" s="366"/>
      <c r="CG49" s="366"/>
      <c r="CH49" s="366"/>
      <c r="CI49" s="366"/>
      <c r="CJ49" s="366"/>
      <c r="CK49" s="366"/>
      <c r="CL49" s="366"/>
      <c r="CM49" s="366"/>
      <c r="CN49" s="366"/>
      <c r="CO49" s="366"/>
      <c r="CP49" s="366"/>
      <c r="CQ49" s="366"/>
      <c r="CR49" s="366"/>
      <c r="CS49" s="366"/>
      <c r="CT49" s="366"/>
      <c r="CU49" s="366"/>
      <c r="CV49" s="366"/>
      <c r="CW49" s="366"/>
      <c r="CX49" s="366"/>
      <c r="CY49" s="366"/>
      <c r="CZ49" s="366"/>
      <c r="DA49" s="366"/>
      <c r="DB49" s="366"/>
      <c r="DC49" s="366"/>
      <c r="DD49" s="366"/>
      <c r="DE49" s="366"/>
      <c r="DF49" s="366"/>
      <c r="DG49" s="366"/>
      <c r="DH49" s="366"/>
      <c r="DI49" s="366"/>
      <c r="DJ49" s="366"/>
      <c r="DK49" s="366"/>
      <c r="DL49" s="366"/>
      <c r="DM49" s="366"/>
      <c r="DN49" s="366"/>
      <c r="DO49" s="366"/>
      <c r="DP49" s="366"/>
      <c r="DQ49" s="2"/>
      <c r="DR49" s="2"/>
      <c r="DS49" s="192"/>
    </row>
    <row r="50" spans="2:123" ht="9.4499999999999993" customHeight="1" x14ac:dyDescent="0.3">
      <c r="B50" s="191"/>
      <c r="C50" s="2"/>
      <c r="D50" s="2"/>
      <c r="E50" s="2"/>
      <c r="F50" s="2"/>
      <c r="G50" s="2"/>
      <c r="H50" s="2"/>
      <c r="I50" s="2"/>
      <c r="J50" s="2"/>
      <c r="K50" s="2"/>
      <c r="L50" s="2"/>
      <c r="M50" s="2"/>
      <c r="N50" s="2"/>
      <c r="O50" s="2"/>
      <c r="P50" s="2"/>
      <c r="Q50" s="2"/>
      <c r="X50" s="363" t="s">
        <v>497</v>
      </c>
      <c r="Y50" s="364"/>
      <c r="Z50" s="364"/>
      <c r="AA50" s="364"/>
      <c r="AB50" s="364"/>
      <c r="AC50" s="364"/>
      <c r="AD50" s="364"/>
      <c r="AE50" s="364"/>
      <c r="AF50" s="364"/>
      <c r="AG50" s="364"/>
      <c r="AH50" s="364"/>
      <c r="AI50" s="364"/>
      <c r="AJ50" s="364"/>
      <c r="AK50" s="364"/>
      <c r="AL50" s="364"/>
      <c r="AM50" s="364"/>
      <c r="AN50" s="2"/>
      <c r="AO50" s="2"/>
      <c r="AP50" s="2"/>
      <c r="AQ50" s="2"/>
      <c r="AR50" s="2"/>
      <c r="AS50" s="2"/>
      <c r="AT50" s="2"/>
      <c r="AU50" s="2"/>
      <c r="AV50" s="2"/>
      <c r="AW50" s="2"/>
      <c r="AX50" s="2"/>
      <c r="AY50" s="2"/>
      <c r="AZ50" s="2"/>
      <c r="BA50" s="2"/>
      <c r="BB50" s="2"/>
      <c r="BC50" s="2"/>
      <c r="BD50" s="2"/>
      <c r="BE50" s="2"/>
      <c r="BF50" s="2"/>
      <c r="BG50" s="2"/>
      <c r="BH50" s="2"/>
      <c r="BI50" s="192"/>
      <c r="BL50" s="191"/>
      <c r="BM50" s="366"/>
      <c r="BN50" s="366"/>
      <c r="BO50" s="366"/>
      <c r="BP50" s="366"/>
      <c r="BQ50" s="366"/>
      <c r="BR50" s="366"/>
      <c r="BS50" s="366"/>
      <c r="BT50" s="366"/>
      <c r="BU50" s="366"/>
      <c r="BV50" s="366"/>
      <c r="BW50" s="366"/>
      <c r="BX50" s="366"/>
      <c r="BY50" s="366"/>
      <c r="BZ50" s="366"/>
      <c r="CA50" s="366"/>
      <c r="CB50" s="366"/>
      <c r="CC50" s="366"/>
      <c r="CD50" s="366"/>
      <c r="CE50" s="366"/>
      <c r="CF50" s="366"/>
      <c r="CG50" s="366"/>
      <c r="CH50" s="366"/>
      <c r="CI50" s="366"/>
      <c r="CJ50" s="366"/>
      <c r="CK50" s="366"/>
      <c r="CL50" s="366"/>
      <c r="CM50" s="366"/>
      <c r="CN50" s="366"/>
      <c r="CO50" s="366"/>
      <c r="CP50" s="366"/>
      <c r="CQ50" s="366"/>
      <c r="CR50" s="366"/>
      <c r="CS50" s="366"/>
      <c r="CT50" s="366"/>
      <c r="CU50" s="366"/>
      <c r="CV50" s="366"/>
      <c r="CW50" s="366"/>
      <c r="CX50" s="366"/>
      <c r="CY50" s="366"/>
      <c r="CZ50" s="366"/>
      <c r="DA50" s="366"/>
      <c r="DB50" s="366"/>
      <c r="DC50" s="366"/>
      <c r="DD50" s="366"/>
      <c r="DE50" s="366"/>
      <c r="DF50" s="366"/>
      <c r="DG50" s="366"/>
      <c r="DH50" s="366"/>
      <c r="DI50" s="366"/>
      <c r="DJ50" s="366"/>
      <c r="DK50" s="366"/>
      <c r="DL50" s="366"/>
      <c r="DM50" s="366"/>
      <c r="DN50" s="366"/>
      <c r="DO50" s="366"/>
      <c r="DP50" s="366"/>
      <c r="DQ50" s="2"/>
      <c r="DR50" s="2"/>
      <c r="DS50" s="192"/>
    </row>
    <row r="51" spans="2:123" ht="9.4499999999999993" customHeight="1" x14ac:dyDescent="0.3">
      <c r="B51" s="191"/>
      <c r="C51" s="2"/>
      <c r="D51" s="2"/>
      <c r="E51" s="2"/>
      <c r="F51" s="2"/>
      <c r="G51" s="2"/>
      <c r="H51" s="2"/>
      <c r="I51" s="2"/>
      <c r="J51" s="2"/>
      <c r="K51" s="2"/>
      <c r="L51" s="2"/>
      <c r="M51" s="2"/>
      <c r="N51" s="2"/>
      <c r="O51" s="2"/>
      <c r="P51" s="2"/>
      <c r="Q51" s="2"/>
      <c r="X51" s="364"/>
      <c r="Y51" s="364"/>
      <c r="Z51" s="364"/>
      <c r="AA51" s="364"/>
      <c r="AB51" s="364"/>
      <c r="AC51" s="364"/>
      <c r="AD51" s="364"/>
      <c r="AE51" s="364"/>
      <c r="AF51" s="364"/>
      <c r="AG51" s="364"/>
      <c r="AH51" s="364"/>
      <c r="AI51" s="364"/>
      <c r="AJ51" s="364"/>
      <c r="AK51" s="364"/>
      <c r="AL51" s="364"/>
      <c r="AM51" s="364"/>
      <c r="AN51" s="2"/>
      <c r="AO51" s="2"/>
      <c r="AP51" s="2"/>
      <c r="AQ51" s="2"/>
      <c r="AR51" s="2"/>
      <c r="AS51" s="2"/>
      <c r="AT51" s="2"/>
      <c r="AU51" s="2"/>
      <c r="AV51" s="2"/>
      <c r="AW51" s="2"/>
      <c r="AX51" s="2"/>
      <c r="AY51" s="2"/>
      <c r="AZ51" s="2"/>
      <c r="BA51" s="2"/>
      <c r="BB51" s="2"/>
      <c r="BC51" s="2"/>
      <c r="BD51" s="2"/>
      <c r="BE51" s="2"/>
      <c r="BF51" s="2"/>
      <c r="BG51" s="2"/>
      <c r="BH51" s="2"/>
      <c r="BI51" s="192"/>
      <c r="BL51" s="191"/>
      <c r="BM51" s="366"/>
      <c r="BN51" s="366"/>
      <c r="BO51" s="366"/>
      <c r="BP51" s="366"/>
      <c r="BQ51" s="366"/>
      <c r="BR51" s="366"/>
      <c r="BS51" s="366"/>
      <c r="BT51" s="366"/>
      <c r="BU51" s="366"/>
      <c r="BV51" s="366"/>
      <c r="BW51" s="366"/>
      <c r="BX51" s="366"/>
      <c r="BY51" s="366"/>
      <c r="BZ51" s="366"/>
      <c r="CA51" s="366"/>
      <c r="CB51" s="366"/>
      <c r="CC51" s="366"/>
      <c r="CD51" s="366"/>
      <c r="CE51" s="366"/>
      <c r="CF51" s="366"/>
      <c r="CG51" s="366"/>
      <c r="CH51" s="366"/>
      <c r="CI51" s="366"/>
      <c r="CJ51" s="366"/>
      <c r="CK51" s="366"/>
      <c r="CL51" s="366"/>
      <c r="CM51" s="366"/>
      <c r="CN51" s="366"/>
      <c r="CO51" s="366"/>
      <c r="CP51" s="366"/>
      <c r="CQ51" s="366"/>
      <c r="CR51" s="366"/>
      <c r="CS51" s="366"/>
      <c r="CT51" s="366"/>
      <c r="CU51" s="366"/>
      <c r="CV51" s="366"/>
      <c r="CW51" s="366"/>
      <c r="CX51" s="366"/>
      <c r="CY51" s="366"/>
      <c r="CZ51" s="366"/>
      <c r="DA51" s="366"/>
      <c r="DB51" s="366"/>
      <c r="DC51" s="366"/>
      <c r="DD51" s="366"/>
      <c r="DE51" s="366"/>
      <c r="DF51" s="366"/>
      <c r="DG51" s="366"/>
      <c r="DH51" s="366"/>
      <c r="DI51" s="366"/>
      <c r="DJ51" s="366"/>
      <c r="DK51" s="366"/>
      <c r="DL51" s="366"/>
      <c r="DM51" s="366"/>
      <c r="DN51" s="366"/>
      <c r="DO51" s="366"/>
      <c r="DP51" s="366"/>
      <c r="DQ51" s="2"/>
      <c r="DR51" s="2"/>
      <c r="DS51" s="192"/>
    </row>
    <row r="52" spans="2:123" ht="9.4499999999999993" customHeight="1" x14ac:dyDescent="0.3">
      <c r="B52" s="191"/>
      <c r="C52" s="2"/>
      <c r="D52" s="2"/>
      <c r="E52" s="2"/>
      <c r="F52" s="2"/>
      <c r="G52" s="2"/>
      <c r="H52" s="2"/>
      <c r="I52" s="2"/>
      <c r="J52" s="2"/>
      <c r="K52" s="2"/>
      <c r="L52" s="2"/>
      <c r="M52" s="2"/>
      <c r="N52" s="2"/>
      <c r="O52" s="2"/>
      <c r="P52" s="2"/>
      <c r="Q52" s="2"/>
      <c r="X52" s="364"/>
      <c r="Y52" s="364"/>
      <c r="Z52" s="364"/>
      <c r="AA52" s="364"/>
      <c r="AB52" s="364"/>
      <c r="AC52" s="364"/>
      <c r="AD52" s="364"/>
      <c r="AE52" s="364"/>
      <c r="AF52" s="364"/>
      <c r="AG52" s="364"/>
      <c r="AH52" s="364"/>
      <c r="AI52" s="364"/>
      <c r="AJ52" s="364"/>
      <c r="AK52" s="364"/>
      <c r="AL52" s="364"/>
      <c r="AM52" s="364"/>
      <c r="AN52" s="2"/>
      <c r="AO52" s="2"/>
      <c r="AP52" s="2"/>
      <c r="AQ52" s="2"/>
      <c r="AR52" s="2"/>
      <c r="AS52" s="2"/>
      <c r="AT52" s="2"/>
      <c r="AU52" s="2"/>
      <c r="AV52" s="2"/>
      <c r="AW52" s="2"/>
      <c r="AX52" s="2"/>
      <c r="AY52" s="2"/>
      <c r="AZ52" s="2"/>
      <c r="BA52" s="2"/>
      <c r="BB52" s="2"/>
      <c r="BC52" s="2"/>
      <c r="BD52" s="2"/>
      <c r="BE52" s="2"/>
      <c r="BF52" s="2"/>
      <c r="BG52" s="2"/>
      <c r="BH52" s="2"/>
      <c r="BI52" s="192"/>
      <c r="BL52" s="191"/>
      <c r="BM52" s="366" t="s">
        <v>449</v>
      </c>
      <c r="BN52" s="366"/>
      <c r="BO52" s="366"/>
      <c r="BP52" s="366"/>
      <c r="BQ52" s="366"/>
      <c r="BR52" s="366"/>
      <c r="BS52" s="366"/>
      <c r="BT52" s="366"/>
      <c r="BU52" s="366"/>
      <c r="BV52" s="366"/>
      <c r="BW52" s="366"/>
      <c r="BX52" s="366"/>
      <c r="BY52" s="366"/>
      <c r="BZ52" s="366"/>
      <c r="CA52" s="366"/>
      <c r="CB52" s="366"/>
      <c r="CC52" s="366"/>
      <c r="CD52" s="366"/>
      <c r="CE52" s="366"/>
      <c r="CF52" s="366"/>
      <c r="CG52" s="366"/>
      <c r="CH52" s="366"/>
      <c r="CI52" s="366"/>
      <c r="CJ52" s="366"/>
      <c r="CK52" s="366"/>
      <c r="CL52" s="366"/>
      <c r="CM52" s="366"/>
      <c r="CN52" s="366"/>
      <c r="CO52" s="366"/>
      <c r="CP52" s="366"/>
      <c r="CQ52" s="366"/>
      <c r="CR52" s="366"/>
      <c r="CS52" s="366"/>
      <c r="CT52" s="366"/>
      <c r="CU52" s="366"/>
      <c r="CV52" s="366"/>
      <c r="CW52" s="366"/>
      <c r="CX52" s="366"/>
      <c r="CY52" s="366"/>
      <c r="CZ52" s="366"/>
      <c r="DA52" s="366"/>
      <c r="DB52" s="366"/>
      <c r="DC52" s="366"/>
      <c r="DD52" s="366"/>
      <c r="DE52" s="366"/>
      <c r="DF52" s="366"/>
      <c r="DG52" s="366"/>
      <c r="DH52" s="366"/>
      <c r="DI52" s="366"/>
      <c r="DJ52" s="366"/>
      <c r="DK52" s="366"/>
      <c r="DL52" s="366"/>
      <c r="DM52" s="366"/>
      <c r="DN52" s="366"/>
      <c r="DO52" s="366"/>
      <c r="DP52" s="366"/>
      <c r="DQ52" s="2"/>
      <c r="DR52" s="2"/>
      <c r="DS52" s="192"/>
    </row>
    <row r="53" spans="2:123" ht="9.4499999999999993" customHeight="1" x14ac:dyDescent="0.3">
      <c r="B53" s="191"/>
      <c r="C53" s="2"/>
      <c r="D53" s="2"/>
      <c r="E53" s="2"/>
      <c r="F53" s="2"/>
      <c r="G53" s="2"/>
      <c r="H53" s="2"/>
      <c r="I53" s="2"/>
      <c r="J53" s="2"/>
      <c r="K53" s="2"/>
      <c r="L53" s="2"/>
      <c r="M53" s="2"/>
      <c r="N53" s="2"/>
      <c r="O53" s="2"/>
      <c r="P53" s="2"/>
      <c r="Q53" s="2"/>
      <c r="R53" s="2"/>
      <c r="S53" s="2"/>
      <c r="T53" s="2"/>
      <c r="U53" s="2"/>
      <c r="V53" s="2"/>
      <c r="W53" s="2"/>
      <c r="X53" s="364"/>
      <c r="Y53" s="364"/>
      <c r="Z53" s="364"/>
      <c r="AA53" s="364"/>
      <c r="AB53" s="364"/>
      <c r="AC53" s="364"/>
      <c r="AD53" s="364"/>
      <c r="AE53" s="364"/>
      <c r="AF53" s="364"/>
      <c r="AG53" s="364"/>
      <c r="AH53" s="364"/>
      <c r="AI53" s="364"/>
      <c r="AJ53" s="364"/>
      <c r="AK53" s="364"/>
      <c r="AL53" s="364"/>
      <c r="AM53" s="364"/>
      <c r="AN53" s="2"/>
      <c r="AO53" s="2"/>
      <c r="AP53" s="2"/>
      <c r="AQ53" s="2"/>
      <c r="AR53" s="2"/>
      <c r="AS53" s="2"/>
      <c r="AT53" s="2"/>
      <c r="AU53" s="2"/>
      <c r="AV53" s="2"/>
      <c r="AW53" s="2"/>
      <c r="AX53" s="2"/>
      <c r="AY53" s="2"/>
      <c r="AZ53" s="2"/>
      <c r="BA53" s="2"/>
      <c r="BB53" s="2"/>
      <c r="BC53" s="2"/>
      <c r="BD53" s="2"/>
      <c r="BE53" s="2"/>
      <c r="BF53" s="2"/>
      <c r="BG53" s="2"/>
      <c r="BH53" s="2"/>
      <c r="BI53" s="192"/>
      <c r="BL53" s="191"/>
      <c r="BM53" s="366"/>
      <c r="BN53" s="366"/>
      <c r="BO53" s="366"/>
      <c r="BP53" s="366"/>
      <c r="BQ53" s="366"/>
      <c r="BR53" s="366"/>
      <c r="BS53" s="366"/>
      <c r="BT53" s="366"/>
      <c r="BU53" s="366"/>
      <c r="BV53" s="366"/>
      <c r="BW53" s="366"/>
      <c r="BX53" s="366"/>
      <c r="BY53" s="366"/>
      <c r="BZ53" s="366"/>
      <c r="CA53" s="366"/>
      <c r="CB53" s="366"/>
      <c r="CC53" s="366"/>
      <c r="CD53" s="366"/>
      <c r="CE53" s="366"/>
      <c r="CF53" s="366"/>
      <c r="CG53" s="366"/>
      <c r="CH53" s="366"/>
      <c r="CI53" s="366"/>
      <c r="CJ53" s="366"/>
      <c r="CK53" s="366"/>
      <c r="CL53" s="366"/>
      <c r="CM53" s="366"/>
      <c r="CN53" s="366"/>
      <c r="CO53" s="366"/>
      <c r="CP53" s="366"/>
      <c r="CQ53" s="366"/>
      <c r="CR53" s="366"/>
      <c r="CS53" s="366"/>
      <c r="CT53" s="366"/>
      <c r="CU53" s="366"/>
      <c r="CV53" s="366"/>
      <c r="CW53" s="366"/>
      <c r="CX53" s="366"/>
      <c r="CY53" s="366"/>
      <c r="CZ53" s="366"/>
      <c r="DA53" s="366"/>
      <c r="DB53" s="366"/>
      <c r="DC53" s="366"/>
      <c r="DD53" s="366"/>
      <c r="DE53" s="366"/>
      <c r="DF53" s="366"/>
      <c r="DG53" s="366"/>
      <c r="DH53" s="366"/>
      <c r="DI53" s="366"/>
      <c r="DJ53" s="366"/>
      <c r="DK53" s="366"/>
      <c r="DL53" s="366"/>
      <c r="DM53" s="366"/>
      <c r="DN53" s="366"/>
      <c r="DO53" s="366"/>
      <c r="DP53" s="366"/>
      <c r="DQ53" s="2"/>
      <c r="DR53" s="2"/>
      <c r="DS53" s="192"/>
    </row>
    <row r="54" spans="2:123" ht="9.4499999999999993" customHeight="1" x14ac:dyDescent="0.3">
      <c r="B54" s="191"/>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192"/>
      <c r="BL54" s="191"/>
      <c r="BM54" s="366"/>
      <c r="BN54" s="366"/>
      <c r="BO54" s="366"/>
      <c r="BP54" s="366"/>
      <c r="BQ54" s="366"/>
      <c r="BR54" s="366"/>
      <c r="BS54" s="366"/>
      <c r="BT54" s="366"/>
      <c r="BU54" s="366"/>
      <c r="BV54" s="366"/>
      <c r="BW54" s="366"/>
      <c r="BX54" s="366"/>
      <c r="BY54" s="366"/>
      <c r="BZ54" s="366"/>
      <c r="CA54" s="366"/>
      <c r="CB54" s="366"/>
      <c r="CC54" s="366"/>
      <c r="CD54" s="366"/>
      <c r="CE54" s="366"/>
      <c r="CF54" s="366"/>
      <c r="CG54" s="366"/>
      <c r="CH54" s="366"/>
      <c r="CI54" s="366"/>
      <c r="CJ54" s="366"/>
      <c r="CK54" s="366"/>
      <c r="CL54" s="366"/>
      <c r="CM54" s="366"/>
      <c r="CN54" s="366"/>
      <c r="CO54" s="366"/>
      <c r="CP54" s="366"/>
      <c r="CQ54" s="366"/>
      <c r="CR54" s="366"/>
      <c r="CS54" s="366"/>
      <c r="CT54" s="366"/>
      <c r="CU54" s="366"/>
      <c r="CV54" s="366"/>
      <c r="CW54" s="366"/>
      <c r="CX54" s="366"/>
      <c r="CY54" s="366"/>
      <c r="CZ54" s="366"/>
      <c r="DA54" s="366"/>
      <c r="DB54" s="366"/>
      <c r="DC54" s="366"/>
      <c r="DD54" s="366"/>
      <c r="DE54" s="366"/>
      <c r="DF54" s="366"/>
      <c r="DG54" s="366"/>
      <c r="DH54" s="366"/>
      <c r="DI54" s="366"/>
      <c r="DJ54" s="366"/>
      <c r="DK54" s="366"/>
      <c r="DL54" s="366"/>
      <c r="DM54" s="366"/>
      <c r="DN54" s="366"/>
      <c r="DO54" s="366"/>
      <c r="DP54" s="366"/>
      <c r="DQ54" s="2"/>
      <c r="DR54" s="2"/>
      <c r="DS54" s="192"/>
    </row>
    <row r="55" spans="2:123" ht="9.4499999999999993" customHeight="1" x14ac:dyDescent="0.3">
      <c r="B55" s="191"/>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192"/>
      <c r="BL55" s="191"/>
      <c r="BM55" s="366" t="s">
        <v>135</v>
      </c>
      <c r="BN55" s="366"/>
      <c r="BO55" s="366"/>
      <c r="BP55" s="366"/>
      <c r="BQ55" s="366"/>
      <c r="BR55" s="366"/>
      <c r="BS55" s="366"/>
      <c r="BT55" s="366"/>
      <c r="BU55" s="366"/>
      <c r="BV55" s="366"/>
      <c r="BW55" s="366"/>
      <c r="BX55" s="366"/>
      <c r="BY55" s="366"/>
      <c r="BZ55" s="366"/>
      <c r="CA55" s="366"/>
      <c r="CB55" s="366"/>
      <c r="CC55" s="366"/>
      <c r="CD55" s="366"/>
      <c r="CE55" s="366"/>
      <c r="CF55" s="366"/>
      <c r="CG55" s="366"/>
      <c r="CH55" s="366"/>
      <c r="CI55" s="366"/>
      <c r="CJ55" s="366"/>
      <c r="CK55" s="366"/>
      <c r="CL55" s="366"/>
      <c r="CM55" s="366"/>
      <c r="CN55" s="366"/>
      <c r="CO55" s="366"/>
      <c r="CP55" s="366"/>
      <c r="CQ55" s="366"/>
      <c r="CR55" s="366"/>
      <c r="CS55" s="366"/>
      <c r="CT55" s="366"/>
      <c r="CU55" s="366"/>
      <c r="CV55" s="366"/>
      <c r="CW55" s="366"/>
      <c r="CX55" s="366"/>
      <c r="CY55" s="366"/>
      <c r="CZ55" s="366"/>
      <c r="DA55" s="366"/>
      <c r="DB55" s="366"/>
      <c r="DC55" s="366"/>
      <c r="DD55" s="366"/>
      <c r="DE55" s="366"/>
      <c r="DF55" s="366"/>
      <c r="DG55" s="366"/>
      <c r="DH55" s="366"/>
      <c r="DI55" s="366"/>
      <c r="DJ55" s="366"/>
      <c r="DK55" s="366"/>
      <c r="DL55" s="366"/>
      <c r="DM55" s="366"/>
      <c r="DN55" s="366"/>
      <c r="DO55" s="366"/>
      <c r="DP55" s="366"/>
      <c r="DQ55" s="2"/>
      <c r="DR55" s="2"/>
      <c r="DS55" s="192"/>
    </row>
    <row r="56" spans="2:123" ht="9.4499999999999993" customHeight="1" x14ac:dyDescent="0.3">
      <c r="B56" s="191"/>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192"/>
      <c r="BL56" s="191"/>
      <c r="BM56" s="366"/>
      <c r="BN56" s="366"/>
      <c r="BO56" s="366"/>
      <c r="BP56" s="366"/>
      <c r="BQ56" s="366"/>
      <c r="BR56" s="366"/>
      <c r="BS56" s="366"/>
      <c r="BT56" s="366"/>
      <c r="BU56" s="366"/>
      <c r="BV56" s="366"/>
      <c r="BW56" s="366"/>
      <c r="BX56" s="366"/>
      <c r="BY56" s="366"/>
      <c r="BZ56" s="366"/>
      <c r="CA56" s="366"/>
      <c r="CB56" s="366"/>
      <c r="CC56" s="366"/>
      <c r="CD56" s="366"/>
      <c r="CE56" s="366"/>
      <c r="CF56" s="366"/>
      <c r="CG56" s="366"/>
      <c r="CH56" s="366"/>
      <c r="CI56" s="366"/>
      <c r="CJ56" s="366"/>
      <c r="CK56" s="366"/>
      <c r="CL56" s="366"/>
      <c r="CM56" s="366"/>
      <c r="CN56" s="366"/>
      <c r="CO56" s="366"/>
      <c r="CP56" s="366"/>
      <c r="CQ56" s="366"/>
      <c r="CR56" s="366"/>
      <c r="CS56" s="366"/>
      <c r="CT56" s="366"/>
      <c r="CU56" s="366"/>
      <c r="CV56" s="366"/>
      <c r="CW56" s="366"/>
      <c r="CX56" s="366"/>
      <c r="CY56" s="366"/>
      <c r="CZ56" s="366"/>
      <c r="DA56" s="366"/>
      <c r="DB56" s="366"/>
      <c r="DC56" s="366"/>
      <c r="DD56" s="366"/>
      <c r="DE56" s="366"/>
      <c r="DF56" s="366"/>
      <c r="DG56" s="366"/>
      <c r="DH56" s="366"/>
      <c r="DI56" s="366"/>
      <c r="DJ56" s="366"/>
      <c r="DK56" s="366"/>
      <c r="DL56" s="366"/>
      <c r="DM56" s="366"/>
      <c r="DN56" s="366"/>
      <c r="DO56" s="366"/>
      <c r="DP56" s="366"/>
      <c r="DQ56" s="2"/>
      <c r="DR56" s="2"/>
      <c r="DS56" s="192"/>
    </row>
    <row r="57" spans="2:123" ht="9.4499999999999993" customHeight="1" x14ac:dyDescent="0.3">
      <c r="B57" s="191"/>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192"/>
      <c r="BL57" s="191"/>
      <c r="BM57" s="366"/>
      <c r="BN57" s="366"/>
      <c r="BO57" s="366"/>
      <c r="BP57" s="366"/>
      <c r="BQ57" s="366"/>
      <c r="BR57" s="366"/>
      <c r="BS57" s="366"/>
      <c r="BT57" s="366"/>
      <c r="BU57" s="366"/>
      <c r="BV57" s="366"/>
      <c r="BW57" s="366"/>
      <c r="BX57" s="366"/>
      <c r="BY57" s="366"/>
      <c r="BZ57" s="366"/>
      <c r="CA57" s="366"/>
      <c r="CB57" s="366"/>
      <c r="CC57" s="366"/>
      <c r="CD57" s="366"/>
      <c r="CE57" s="366"/>
      <c r="CF57" s="366"/>
      <c r="CG57" s="366"/>
      <c r="CH57" s="366"/>
      <c r="CI57" s="366"/>
      <c r="CJ57" s="366"/>
      <c r="CK57" s="366"/>
      <c r="CL57" s="366"/>
      <c r="CM57" s="366"/>
      <c r="CN57" s="366"/>
      <c r="CO57" s="366"/>
      <c r="CP57" s="366"/>
      <c r="CQ57" s="366"/>
      <c r="CR57" s="366"/>
      <c r="CS57" s="366"/>
      <c r="CT57" s="366"/>
      <c r="CU57" s="366"/>
      <c r="CV57" s="366"/>
      <c r="CW57" s="366"/>
      <c r="CX57" s="366"/>
      <c r="CY57" s="366"/>
      <c r="CZ57" s="366"/>
      <c r="DA57" s="366"/>
      <c r="DB57" s="366"/>
      <c r="DC57" s="366"/>
      <c r="DD57" s="366"/>
      <c r="DE57" s="366"/>
      <c r="DF57" s="366"/>
      <c r="DG57" s="366"/>
      <c r="DH57" s="366"/>
      <c r="DI57" s="366"/>
      <c r="DJ57" s="366"/>
      <c r="DK57" s="366"/>
      <c r="DL57" s="366"/>
      <c r="DM57" s="366"/>
      <c r="DN57" s="366"/>
      <c r="DO57" s="366"/>
      <c r="DP57" s="366"/>
      <c r="DQ57" s="2"/>
      <c r="DR57" s="2"/>
      <c r="DS57" s="192"/>
    </row>
    <row r="58" spans="2:123" ht="9.4499999999999993" customHeight="1" x14ac:dyDescent="0.3">
      <c r="B58" s="191"/>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192"/>
      <c r="BL58" s="191"/>
      <c r="BM58" s="366" t="s">
        <v>136</v>
      </c>
      <c r="BN58" s="366"/>
      <c r="BO58" s="366"/>
      <c r="BP58" s="366"/>
      <c r="BQ58" s="366"/>
      <c r="BR58" s="366"/>
      <c r="BS58" s="366"/>
      <c r="BT58" s="366"/>
      <c r="BU58" s="366"/>
      <c r="BV58" s="366"/>
      <c r="BW58" s="366"/>
      <c r="BX58" s="366"/>
      <c r="BY58" s="366"/>
      <c r="BZ58" s="366"/>
      <c r="CA58" s="366"/>
      <c r="CB58" s="366"/>
      <c r="CC58" s="366"/>
      <c r="CD58" s="366"/>
      <c r="CE58" s="366"/>
      <c r="CF58" s="366"/>
      <c r="CG58" s="366"/>
      <c r="CH58" s="366"/>
      <c r="CI58" s="366"/>
      <c r="CJ58" s="366"/>
      <c r="CK58" s="366"/>
      <c r="CL58" s="366"/>
      <c r="CM58" s="366"/>
      <c r="CN58" s="366"/>
      <c r="CO58" s="366"/>
      <c r="CP58" s="366"/>
      <c r="CQ58" s="366"/>
      <c r="CR58" s="366"/>
      <c r="CS58" s="366"/>
      <c r="CT58" s="366"/>
      <c r="CU58" s="366"/>
      <c r="CV58" s="366"/>
      <c r="CW58" s="366"/>
      <c r="CX58" s="366"/>
      <c r="CY58" s="366"/>
      <c r="CZ58" s="366"/>
      <c r="DA58" s="366"/>
      <c r="DB58" s="366"/>
      <c r="DC58" s="366"/>
      <c r="DD58" s="366"/>
      <c r="DE58" s="366"/>
      <c r="DF58" s="366"/>
      <c r="DG58" s="366"/>
      <c r="DH58" s="366"/>
      <c r="DI58" s="366"/>
      <c r="DJ58" s="366"/>
      <c r="DK58" s="366"/>
      <c r="DL58" s="366"/>
      <c r="DM58" s="366"/>
      <c r="DN58" s="366"/>
      <c r="DO58" s="366"/>
      <c r="DP58" s="366"/>
      <c r="DQ58" s="2"/>
      <c r="DR58" s="2"/>
      <c r="DS58" s="192"/>
    </row>
    <row r="59" spans="2:123" ht="9.4499999999999993" customHeight="1" x14ac:dyDescent="0.3">
      <c r="B59" s="191"/>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192"/>
      <c r="BL59" s="191"/>
      <c r="BM59" s="366"/>
      <c r="BN59" s="366"/>
      <c r="BO59" s="366"/>
      <c r="BP59" s="366"/>
      <c r="BQ59" s="366"/>
      <c r="BR59" s="366"/>
      <c r="BS59" s="366"/>
      <c r="BT59" s="366"/>
      <c r="BU59" s="366"/>
      <c r="BV59" s="366"/>
      <c r="BW59" s="366"/>
      <c r="BX59" s="366"/>
      <c r="BY59" s="366"/>
      <c r="BZ59" s="366"/>
      <c r="CA59" s="366"/>
      <c r="CB59" s="366"/>
      <c r="CC59" s="366"/>
      <c r="CD59" s="366"/>
      <c r="CE59" s="366"/>
      <c r="CF59" s="366"/>
      <c r="CG59" s="366"/>
      <c r="CH59" s="366"/>
      <c r="CI59" s="366"/>
      <c r="CJ59" s="366"/>
      <c r="CK59" s="366"/>
      <c r="CL59" s="366"/>
      <c r="CM59" s="366"/>
      <c r="CN59" s="366"/>
      <c r="CO59" s="366"/>
      <c r="CP59" s="366"/>
      <c r="CQ59" s="366"/>
      <c r="CR59" s="366"/>
      <c r="CS59" s="366"/>
      <c r="CT59" s="366"/>
      <c r="CU59" s="366"/>
      <c r="CV59" s="366"/>
      <c r="CW59" s="366"/>
      <c r="CX59" s="366"/>
      <c r="CY59" s="366"/>
      <c r="CZ59" s="366"/>
      <c r="DA59" s="366"/>
      <c r="DB59" s="366"/>
      <c r="DC59" s="366"/>
      <c r="DD59" s="366"/>
      <c r="DE59" s="366"/>
      <c r="DF59" s="366"/>
      <c r="DG59" s="366"/>
      <c r="DH59" s="366"/>
      <c r="DI59" s="366"/>
      <c r="DJ59" s="366"/>
      <c r="DK59" s="366"/>
      <c r="DL59" s="366"/>
      <c r="DM59" s="366"/>
      <c r="DN59" s="366"/>
      <c r="DO59" s="366"/>
      <c r="DP59" s="366"/>
      <c r="DQ59" s="2"/>
      <c r="DR59" s="2"/>
      <c r="DS59" s="192"/>
    </row>
    <row r="60" spans="2:123" ht="9" customHeight="1" x14ac:dyDescent="0.3">
      <c r="B60" s="191"/>
      <c r="C60" s="225"/>
      <c r="D60" s="225"/>
      <c r="E60" s="225"/>
      <c r="F60" s="225"/>
      <c r="G60" s="225"/>
      <c r="H60" s="225"/>
      <c r="I60" s="225"/>
      <c r="J60" s="225"/>
      <c r="K60" s="225"/>
      <c r="L60" s="225"/>
      <c r="M60" s="225"/>
      <c r="N60" s="225"/>
      <c r="O60" s="225"/>
      <c r="P60" s="225"/>
      <c r="Q60" s="225"/>
      <c r="R60" s="225"/>
      <c r="S60" s="225"/>
      <c r="T60" s="225"/>
      <c r="U60" s="225"/>
      <c r="V60" s="225"/>
      <c r="W60" s="225"/>
      <c r="X60" s="225"/>
      <c r="Y60" s="225"/>
      <c r="Z60" s="225"/>
      <c r="AA60" s="225"/>
      <c r="AB60" s="225"/>
      <c r="AC60" s="225"/>
      <c r="AD60" s="225"/>
      <c r="AE60" s="225"/>
      <c r="AF60" s="225"/>
      <c r="AG60" s="225"/>
      <c r="AH60" s="225"/>
      <c r="AI60" s="225"/>
      <c r="AJ60" s="225"/>
      <c r="AK60" s="225"/>
      <c r="AL60" s="225"/>
      <c r="AM60" s="225"/>
      <c r="AN60" s="225"/>
      <c r="AO60" s="225"/>
      <c r="AP60" s="225"/>
      <c r="AQ60" s="225"/>
      <c r="AR60" s="225"/>
      <c r="AS60" s="225"/>
      <c r="AT60" s="225"/>
      <c r="AU60" s="225"/>
      <c r="AV60" s="225"/>
      <c r="AW60" s="225"/>
      <c r="AX60" s="225"/>
      <c r="AY60" s="225"/>
      <c r="AZ60" s="225"/>
      <c r="BA60" s="225"/>
      <c r="BB60" s="225"/>
      <c r="BC60" s="225"/>
      <c r="BD60" s="225"/>
      <c r="BE60" s="225"/>
      <c r="BF60" s="225"/>
      <c r="BG60" s="225"/>
      <c r="BH60" s="225"/>
      <c r="BI60" s="192"/>
      <c r="BL60" s="191"/>
      <c r="BM60" s="366"/>
      <c r="BN60" s="366"/>
      <c r="BO60" s="366"/>
      <c r="BP60" s="366"/>
      <c r="BQ60" s="366"/>
      <c r="BR60" s="366"/>
      <c r="BS60" s="366"/>
      <c r="BT60" s="366"/>
      <c r="BU60" s="366"/>
      <c r="BV60" s="366"/>
      <c r="BW60" s="366"/>
      <c r="BX60" s="366"/>
      <c r="BY60" s="366"/>
      <c r="BZ60" s="366"/>
      <c r="CA60" s="366"/>
      <c r="CB60" s="366"/>
      <c r="CC60" s="366"/>
      <c r="CD60" s="366"/>
      <c r="CE60" s="366"/>
      <c r="CF60" s="366"/>
      <c r="CG60" s="366"/>
      <c r="CH60" s="366"/>
      <c r="CI60" s="366"/>
      <c r="CJ60" s="366"/>
      <c r="CK60" s="366"/>
      <c r="CL60" s="366"/>
      <c r="CM60" s="366"/>
      <c r="CN60" s="366"/>
      <c r="CO60" s="366"/>
      <c r="CP60" s="366"/>
      <c r="CQ60" s="366"/>
      <c r="CR60" s="366"/>
      <c r="CS60" s="366"/>
      <c r="CT60" s="366"/>
      <c r="CU60" s="366"/>
      <c r="CV60" s="366"/>
      <c r="CW60" s="366"/>
      <c r="CX60" s="366"/>
      <c r="CY60" s="366"/>
      <c r="CZ60" s="366"/>
      <c r="DA60" s="366"/>
      <c r="DB60" s="366"/>
      <c r="DC60" s="366"/>
      <c r="DD60" s="366"/>
      <c r="DE60" s="366"/>
      <c r="DF60" s="366"/>
      <c r="DG60" s="366"/>
      <c r="DH60" s="366"/>
      <c r="DI60" s="366"/>
      <c r="DJ60" s="366"/>
      <c r="DK60" s="366"/>
      <c r="DL60" s="366"/>
      <c r="DM60" s="366"/>
      <c r="DN60" s="366"/>
      <c r="DO60" s="366"/>
      <c r="DP60" s="366"/>
      <c r="DQ60" s="2"/>
      <c r="DR60" s="2"/>
      <c r="DS60" s="192"/>
    </row>
    <row r="61" spans="2:123" ht="9.4499999999999993" customHeight="1" x14ac:dyDescent="0.3">
      <c r="B61" s="191"/>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192"/>
      <c r="BL61" s="191"/>
      <c r="DQ61" s="2"/>
      <c r="DR61" s="2"/>
      <c r="DS61" s="192"/>
    </row>
    <row r="62" spans="2:123" ht="9.4499999999999993" customHeight="1" x14ac:dyDescent="0.3">
      <c r="B62" s="191"/>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192"/>
      <c r="BL62" s="191"/>
      <c r="BM62" s="368" t="s">
        <v>6</v>
      </c>
      <c r="BN62" s="368"/>
      <c r="BO62" s="368"/>
      <c r="BP62" s="368"/>
      <c r="BQ62" s="368"/>
      <c r="BR62" s="368"/>
      <c r="BS62" s="368"/>
      <c r="BT62" s="368"/>
      <c r="BU62" s="368"/>
      <c r="BV62" s="368"/>
      <c r="BW62" s="368"/>
      <c r="BX62" s="368"/>
      <c r="BY62" s="368"/>
      <c r="BZ62" s="368"/>
      <c r="CA62" s="368"/>
      <c r="CB62" s="368"/>
      <c r="CC62" s="368"/>
      <c r="CD62" s="368"/>
      <c r="CE62" s="368"/>
      <c r="CF62" s="368"/>
      <c r="CG62" s="368"/>
      <c r="CH62" s="368"/>
      <c r="CI62" s="368"/>
      <c r="CJ62" s="368"/>
      <c r="CK62" s="368"/>
      <c r="CL62" s="368"/>
      <c r="CM62" s="368"/>
      <c r="CN62" s="368"/>
      <c r="CO62" s="368" t="s">
        <v>17</v>
      </c>
      <c r="CP62" s="368"/>
      <c r="CQ62" s="368"/>
      <c r="CR62" s="368"/>
      <c r="CS62" s="368"/>
      <c r="CT62" s="368"/>
      <c r="CU62" s="368"/>
      <c r="CV62" s="368"/>
      <c r="CW62" s="368"/>
      <c r="CX62" s="368"/>
      <c r="CY62" s="368"/>
      <c r="CZ62" s="368"/>
      <c r="DA62" s="368"/>
      <c r="DB62" s="368"/>
      <c r="DC62" s="368"/>
      <c r="DD62" s="368"/>
      <c r="DE62" s="368"/>
      <c r="DF62" s="368"/>
      <c r="DG62" s="368"/>
      <c r="DH62" s="368"/>
      <c r="DI62" s="368"/>
      <c r="DJ62" s="368"/>
      <c r="DK62" s="368"/>
      <c r="DL62" s="368"/>
      <c r="DM62" s="368"/>
      <c r="DN62" s="368"/>
      <c r="DO62" s="368"/>
      <c r="DP62" s="368"/>
      <c r="DQ62" s="2"/>
      <c r="DR62" s="2"/>
      <c r="DS62" s="192"/>
    </row>
    <row r="63" spans="2:123" ht="9.4499999999999993" customHeight="1" x14ac:dyDescent="0.3">
      <c r="B63" s="191"/>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192"/>
      <c r="BL63" s="191"/>
      <c r="BM63" s="368"/>
      <c r="BN63" s="368"/>
      <c r="BO63" s="368"/>
      <c r="BP63" s="368"/>
      <c r="BQ63" s="368"/>
      <c r="BR63" s="368"/>
      <c r="BS63" s="368"/>
      <c r="BT63" s="368"/>
      <c r="BU63" s="368"/>
      <c r="BV63" s="368"/>
      <c r="BW63" s="368"/>
      <c r="BX63" s="368"/>
      <c r="BY63" s="368"/>
      <c r="BZ63" s="368"/>
      <c r="CA63" s="368"/>
      <c r="CB63" s="368"/>
      <c r="CC63" s="368"/>
      <c r="CD63" s="368"/>
      <c r="CE63" s="368"/>
      <c r="CF63" s="368"/>
      <c r="CG63" s="368"/>
      <c r="CH63" s="368"/>
      <c r="CI63" s="368"/>
      <c r="CJ63" s="368"/>
      <c r="CK63" s="368"/>
      <c r="CL63" s="368"/>
      <c r="CM63" s="368"/>
      <c r="CN63" s="368"/>
      <c r="CO63" s="368"/>
      <c r="CP63" s="368"/>
      <c r="CQ63" s="368"/>
      <c r="CR63" s="368"/>
      <c r="CS63" s="368"/>
      <c r="CT63" s="368"/>
      <c r="CU63" s="368"/>
      <c r="CV63" s="368"/>
      <c r="CW63" s="368"/>
      <c r="CX63" s="368"/>
      <c r="CY63" s="368"/>
      <c r="CZ63" s="368"/>
      <c r="DA63" s="368"/>
      <c r="DB63" s="368"/>
      <c r="DC63" s="368"/>
      <c r="DD63" s="368"/>
      <c r="DE63" s="368"/>
      <c r="DF63" s="368"/>
      <c r="DG63" s="368"/>
      <c r="DH63" s="368"/>
      <c r="DI63" s="368"/>
      <c r="DJ63" s="368"/>
      <c r="DK63" s="368"/>
      <c r="DL63" s="368"/>
      <c r="DM63" s="368"/>
      <c r="DN63" s="368"/>
      <c r="DO63" s="368"/>
      <c r="DP63" s="368"/>
      <c r="DQ63" s="2"/>
      <c r="DR63" s="2"/>
      <c r="DS63" s="192"/>
    </row>
    <row r="64" spans="2:123" ht="9.4499999999999993" customHeight="1" x14ac:dyDescent="0.3">
      <c r="B64" s="191"/>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374"/>
      <c r="AW64" s="374"/>
      <c r="AX64" s="2"/>
      <c r="AY64" s="2"/>
      <c r="AZ64" s="2"/>
      <c r="BA64" s="2"/>
      <c r="BB64" s="2"/>
      <c r="BC64" s="2"/>
      <c r="BD64" s="2"/>
      <c r="BE64" s="2"/>
      <c r="BF64" s="2"/>
      <c r="BG64" s="2"/>
      <c r="BH64" s="2"/>
      <c r="BI64" s="192"/>
      <c r="BL64" s="191"/>
      <c r="BM64" s="365" t="s">
        <v>496</v>
      </c>
      <c r="BN64" s="365"/>
      <c r="BO64" s="365"/>
      <c r="BP64" s="365"/>
      <c r="BQ64" s="365"/>
      <c r="BR64" s="365"/>
      <c r="BS64" s="365"/>
      <c r="BT64" s="365"/>
      <c r="BU64" s="365"/>
      <c r="BV64" s="365"/>
      <c r="BW64" s="365"/>
      <c r="BX64" s="365"/>
      <c r="BY64" s="365"/>
      <c r="BZ64" s="365"/>
      <c r="CA64" s="365"/>
      <c r="CB64" s="365"/>
      <c r="CC64" s="365"/>
      <c r="CD64" s="365"/>
      <c r="CE64" s="365"/>
      <c r="CF64" s="365"/>
      <c r="CG64" s="365"/>
      <c r="CH64" s="365"/>
      <c r="CI64" s="365"/>
      <c r="CJ64" s="365"/>
      <c r="CK64" s="365"/>
      <c r="CL64" s="365"/>
      <c r="CM64" s="365"/>
      <c r="CN64" s="365"/>
      <c r="CO64" s="369"/>
      <c r="CP64" s="369"/>
      <c r="CQ64" s="369"/>
      <c r="CR64" s="369"/>
      <c r="CS64" s="369"/>
      <c r="CT64" s="2"/>
      <c r="CU64" s="373" t="s">
        <v>2</v>
      </c>
      <c r="CV64" s="373"/>
      <c r="CW64" s="373"/>
      <c r="CX64" s="373"/>
      <c r="CY64" s="373"/>
      <c r="CZ64" s="373"/>
      <c r="DA64" s="373"/>
      <c r="DB64" s="373"/>
      <c r="DC64" s="373"/>
      <c r="DD64" s="373"/>
      <c r="DE64" s="373"/>
      <c r="DF64" s="373"/>
      <c r="DG64" s="373"/>
      <c r="DH64" s="373"/>
      <c r="DI64" s="373"/>
      <c r="DJ64" s="373"/>
      <c r="DK64" s="373"/>
      <c r="DL64" s="373"/>
      <c r="DM64" s="373"/>
      <c r="DN64" s="373"/>
      <c r="DO64" s="373"/>
      <c r="DP64" s="373"/>
      <c r="DQ64" s="2"/>
      <c r="DR64" s="2"/>
      <c r="DS64" s="192"/>
    </row>
    <row r="65" spans="2:123" ht="9.4499999999999993" customHeight="1" x14ac:dyDescent="0.3">
      <c r="B65" s="191"/>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X65" s="2"/>
      <c r="AY65" s="2"/>
      <c r="AZ65" s="2"/>
      <c r="BA65" s="2"/>
      <c r="BB65" s="2"/>
      <c r="BC65" s="2"/>
      <c r="BD65" s="2"/>
      <c r="BE65" s="2"/>
      <c r="BF65" s="2"/>
      <c r="BG65" s="2"/>
      <c r="BH65" s="2"/>
      <c r="BI65" s="192"/>
      <c r="BL65" s="191"/>
      <c r="BM65" s="365" t="s">
        <v>400</v>
      </c>
      <c r="BN65" s="365"/>
      <c r="BO65" s="365"/>
      <c r="BP65" s="365"/>
      <c r="BQ65" s="365"/>
      <c r="BR65" s="365"/>
      <c r="BS65" s="365"/>
      <c r="BT65" s="365"/>
      <c r="BU65" s="365"/>
      <c r="BV65" s="365"/>
      <c r="BW65" s="365"/>
      <c r="BX65" s="365"/>
      <c r="BY65" s="365"/>
      <c r="BZ65" s="365"/>
      <c r="CA65" s="365"/>
      <c r="CB65" s="365"/>
      <c r="CC65" s="365"/>
      <c r="CD65" s="365"/>
      <c r="CE65" s="365"/>
      <c r="CF65" s="365"/>
      <c r="CG65" s="365"/>
      <c r="CH65" s="365"/>
      <c r="CI65" s="365"/>
      <c r="CJ65" s="365"/>
      <c r="CK65" s="365"/>
      <c r="CL65" s="365"/>
      <c r="CM65" s="365"/>
      <c r="CN65" s="365"/>
      <c r="CO65" s="370"/>
      <c r="CP65" s="370"/>
      <c r="CQ65" s="370"/>
      <c r="CR65" s="370"/>
      <c r="CS65" s="370"/>
      <c r="CT65" s="2"/>
      <c r="CU65" s="373" t="s">
        <v>3</v>
      </c>
      <c r="CV65" s="373"/>
      <c r="CW65" s="373"/>
      <c r="CX65" s="373"/>
      <c r="CY65" s="373"/>
      <c r="CZ65" s="373"/>
      <c r="DA65" s="373"/>
      <c r="DB65" s="373"/>
      <c r="DC65" s="373"/>
      <c r="DD65" s="373"/>
      <c r="DE65" s="373"/>
      <c r="DF65" s="373"/>
      <c r="DG65" s="373"/>
      <c r="DH65" s="373"/>
      <c r="DI65" s="373"/>
      <c r="DJ65" s="373"/>
      <c r="DK65" s="373"/>
      <c r="DL65" s="373"/>
      <c r="DM65" s="373"/>
      <c r="DN65" s="373"/>
      <c r="DO65" s="373"/>
      <c r="DP65" s="373"/>
      <c r="DQ65" s="2"/>
      <c r="DR65" s="2"/>
      <c r="DS65" s="192"/>
    </row>
    <row r="66" spans="2:123" ht="9.4499999999999993" customHeight="1" x14ac:dyDescent="0.3">
      <c r="B66" s="191"/>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X66" s="2"/>
      <c r="AY66" s="2"/>
      <c r="AZ66" s="2"/>
      <c r="BA66" s="2"/>
      <c r="BB66" s="2"/>
      <c r="BC66" s="2"/>
      <c r="BD66" s="2"/>
      <c r="BE66" s="2"/>
      <c r="BF66" s="2"/>
      <c r="BG66" s="2"/>
      <c r="BH66" s="2"/>
      <c r="BI66" s="192"/>
      <c r="BL66" s="191"/>
      <c r="BM66" s="365" t="s">
        <v>443</v>
      </c>
      <c r="BN66" s="365"/>
      <c r="BO66" s="365"/>
      <c r="BP66" s="365"/>
      <c r="BQ66" s="365"/>
      <c r="BR66" s="365"/>
      <c r="BS66" s="365"/>
      <c r="BT66" s="365"/>
      <c r="BU66" s="365"/>
      <c r="BV66" s="365"/>
      <c r="BW66" s="365"/>
      <c r="BX66" s="365"/>
      <c r="BY66" s="365"/>
      <c r="BZ66" s="365"/>
      <c r="CA66" s="365"/>
      <c r="CB66" s="365"/>
      <c r="CC66" s="365"/>
      <c r="CD66" s="365"/>
      <c r="CE66" s="365"/>
      <c r="CF66" s="365"/>
      <c r="CG66" s="365"/>
      <c r="CH66" s="365"/>
      <c r="CI66" s="365"/>
      <c r="CJ66" s="365"/>
      <c r="CK66" s="365"/>
      <c r="CL66" s="365"/>
      <c r="CM66" s="365"/>
      <c r="CN66" s="318"/>
      <c r="CO66" s="371"/>
      <c r="CP66" s="371"/>
      <c r="CQ66" s="371"/>
      <c r="CR66" s="371"/>
      <c r="CS66" s="371"/>
      <c r="CT66" s="2"/>
      <c r="CU66" s="373" t="s">
        <v>94</v>
      </c>
      <c r="CV66" s="373"/>
      <c r="CW66" s="373"/>
      <c r="CX66" s="373"/>
      <c r="CY66" s="373"/>
      <c r="CZ66" s="373"/>
      <c r="DA66" s="373"/>
      <c r="DB66" s="373"/>
      <c r="DC66" s="373"/>
      <c r="DD66" s="373"/>
      <c r="DE66" s="373"/>
      <c r="DF66" s="373"/>
      <c r="DG66" s="373"/>
      <c r="DH66" s="373"/>
      <c r="DI66" s="373"/>
      <c r="DJ66" s="373"/>
      <c r="DK66" s="373"/>
      <c r="DL66" s="373"/>
      <c r="DM66" s="373"/>
      <c r="DN66" s="373"/>
      <c r="DO66" s="373"/>
      <c r="DP66" s="373"/>
      <c r="DQ66" s="2"/>
      <c r="DR66" s="2"/>
      <c r="DS66" s="192"/>
    </row>
    <row r="67" spans="2:123" ht="9.4499999999999993" customHeight="1" x14ac:dyDescent="0.3">
      <c r="B67" s="191"/>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X67" s="2"/>
      <c r="AY67" s="2"/>
      <c r="AZ67" s="2"/>
      <c r="BA67" s="2"/>
      <c r="BB67" s="2"/>
      <c r="BC67" s="2"/>
      <c r="BD67" s="2"/>
      <c r="BE67" s="2"/>
      <c r="BF67" s="2"/>
      <c r="BG67" s="2"/>
      <c r="BH67" s="2"/>
      <c r="BI67" s="192"/>
      <c r="BL67" s="191"/>
      <c r="BM67" s="365" t="s">
        <v>444</v>
      </c>
      <c r="BN67" s="365"/>
      <c r="BO67" s="365"/>
      <c r="BP67" s="365"/>
      <c r="BQ67" s="365"/>
      <c r="BR67" s="365"/>
      <c r="BS67" s="365"/>
      <c r="BT67" s="365"/>
      <c r="BU67" s="365"/>
      <c r="BV67" s="365"/>
      <c r="BW67" s="365"/>
      <c r="BX67" s="365"/>
      <c r="BY67" s="365"/>
      <c r="BZ67" s="365"/>
      <c r="CA67" s="365"/>
      <c r="CB67" s="365"/>
      <c r="CC67" s="365"/>
      <c r="CD67" s="365"/>
      <c r="CE67" s="365"/>
      <c r="CF67" s="365"/>
      <c r="CG67" s="365"/>
      <c r="CH67" s="365"/>
      <c r="CI67" s="365"/>
      <c r="CJ67" s="365"/>
      <c r="CK67" s="365"/>
      <c r="CL67" s="365"/>
      <c r="CM67" s="365"/>
      <c r="CN67" s="318"/>
      <c r="CO67" s="372"/>
      <c r="CP67" s="372"/>
      <c r="CQ67" s="372"/>
      <c r="CR67" s="372"/>
      <c r="CS67" s="372"/>
      <c r="CT67" s="2"/>
      <c r="CU67" s="373" t="s">
        <v>4</v>
      </c>
      <c r="CV67" s="373"/>
      <c r="CW67" s="373"/>
      <c r="CX67" s="373"/>
      <c r="CY67" s="373"/>
      <c r="CZ67" s="373"/>
      <c r="DA67" s="373"/>
      <c r="DB67" s="373"/>
      <c r="DC67" s="373"/>
      <c r="DD67" s="373"/>
      <c r="DE67" s="373"/>
      <c r="DF67" s="373"/>
      <c r="DG67" s="373"/>
      <c r="DH67" s="373"/>
      <c r="DI67" s="373"/>
      <c r="DJ67" s="373"/>
      <c r="DK67" s="373"/>
      <c r="DL67" s="373"/>
      <c r="DM67" s="373"/>
      <c r="DN67" s="373"/>
      <c r="DO67" s="373"/>
      <c r="DP67" s="373"/>
      <c r="DQ67" s="2"/>
      <c r="DR67" s="2"/>
      <c r="DS67" s="192"/>
    </row>
    <row r="68" spans="2:123" ht="9.4499999999999993" customHeight="1" x14ac:dyDescent="0.3">
      <c r="B68" s="191"/>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X68" s="2"/>
      <c r="AY68" s="2"/>
      <c r="AZ68" s="2"/>
      <c r="BA68" s="2"/>
      <c r="BB68" s="2"/>
      <c r="BC68" s="2"/>
      <c r="BD68" s="2"/>
      <c r="BE68" s="2"/>
      <c r="BF68" s="2"/>
      <c r="BG68" s="2"/>
      <c r="BH68" s="2"/>
      <c r="BI68" s="192"/>
      <c r="BL68" s="191"/>
      <c r="BM68" s="318"/>
      <c r="BN68" s="318"/>
      <c r="BO68" s="318"/>
      <c r="BP68" s="318"/>
      <c r="BQ68" s="318"/>
      <c r="BR68" s="318"/>
      <c r="BS68" s="318"/>
      <c r="BT68" s="318"/>
      <c r="BU68" s="318"/>
      <c r="BV68" s="318"/>
      <c r="BW68" s="318"/>
      <c r="BX68" s="318"/>
      <c r="BY68" s="318"/>
      <c r="BZ68" s="318"/>
      <c r="CA68" s="318"/>
      <c r="CB68" s="318"/>
      <c r="CC68" s="318"/>
      <c r="CD68" s="318"/>
      <c r="CE68" s="318"/>
      <c r="CF68" s="318"/>
      <c r="CG68" s="318"/>
      <c r="CH68" s="318"/>
      <c r="CI68" s="318"/>
      <c r="CJ68" s="318"/>
      <c r="CK68" s="318"/>
      <c r="CL68" s="318"/>
      <c r="CM68" s="318"/>
      <c r="CN68" s="318"/>
      <c r="DQ68" s="2"/>
      <c r="DR68" s="2"/>
      <c r="DS68" s="192"/>
    </row>
    <row r="69" spans="2:123" ht="9.4499999999999993" customHeight="1" x14ac:dyDescent="0.3">
      <c r="B69" s="191"/>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192"/>
      <c r="BL69" s="191"/>
      <c r="BM69" s="368"/>
      <c r="BN69" s="368"/>
      <c r="BO69" s="368"/>
      <c r="BP69" s="368"/>
      <c r="BQ69" s="368"/>
      <c r="BR69" s="368"/>
      <c r="BS69" s="368"/>
      <c r="BT69" s="368"/>
      <c r="BU69" s="368"/>
      <c r="BV69" s="368"/>
      <c r="BW69" s="368"/>
      <c r="BX69" s="368"/>
      <c r="BY69" s="368"/>
      <c r="BZ69" s="368"/>
      <c r="CA69" s="368"/>
      <c r="CB69" s="368"/>
      <c r="CC69" s="368"/>
      <c r="CD69" s="368"/>
      <c r="CE69" s="368"/>
      <c r="CF69" s="368"/>
      <c r="CG69" s="368"/>
      <c r="CH69" s="368"/>
      <c r="CI69" s="368"/>
      <c r="CJ69" s="368"/>
      <c r="CK69" s="368"/>
      <c r="CL69" s="368"/>
      <c r="CM69" s="368"/>
      <c r="CN69" s="368"/>
      <c r="CO69" s="368"/>
      <c r="CP69" s="368"/>
      <c r="CQ69" s="368"/>
      <c r="CR69" s="368"/>
      <c r="CS69" s="368"/>
      <c r="CT69" s="368"/>
      <c r="CU69" s="368"/>
      <c r="CV69" s="368"/>
      <c r="CW69" s="368"/>
      <c r="CX69" s="368"/>
      <c r="CY69" s="368"/>
      <c r="CZ69" s="368"/>
      <c r="DA69" s="368"/>
      <c r="DB69" s="368"/>
      <c r="DC69" s="368"/>
      <c r="DD69" s="368"/>
      <c r="DE69" s="368"/>
      <c r="DF69" s="368"/>
      <c r="DG69" s="368"/>
      <c r="DH69" s="368"/>
      <c r="DI69" s="368"/>
      <c r="DJ69" s="368"/>
      <c r="DK69" s="368"/>
      <c r="DL69" s="368"/>
      <c r="DM69" s="368"/>
      <c r="DN69" s="368"/>
      <c r="DO69" s="368"/>
      <c r="DP69" s="368"/>
      <c r="DQ69" s="2"/>
      <c r="DR69" s="2"/>
      <c r="DS69" s="192"/>
    </row>
    <row r="70" spans="2:123" ht="9.4499999999999993" customHeight="1" x14ac:dyDescent="0.3">
      <c r="B70" s="191"/>
      <c r="C70" s="2"/>
      <c r="D70" s="2"/>
      <c r="E70" s="2"/>
      <c r="F70" s="2"/>
      <c r="G70" s="2"/>
      <c r="H70" s="2"/>
      <c r="I70" s="2"/>
      <c r="J70" s="2"/>
      <c r="K70" s="2"/>
      <c r="L70" s="2"/>
      <c r="M70" s="2"/>
      <c r="N70" s="2"/>
      <c r="O70" s="2"/>
      <c r="P70" s="2"/>
      <c r="Q70" s="2"/>
      <c r="R70" s="2"/>
      <c r="S70" s="2"/>
      <c r="T70" s="2"/>
      <c r="U70" s="2"/>
      <c r="V70" s="2"/>
      <c r="W70" s="2"/>
      <c r="AO70" s="2"/>
      <c r="AP70" s="2"/>
      <c r="AQ70" s="2"/>
      <c r="AR70" s="2"/>
      <c r="AS70" s="2"/>
      <c r="AT70" s="2"/>
      <c r="AU70" s="2"/>
      <c r="AV70" s="2"/>
      <c r="AW70" s="2"/>
      <c r="AX70" s="2"/>
      <c r="AY70" s="2"/>
      <c r="AZ70" s="2"/>
      <c r="BA70" s="2"/>
      <c r="BB70" s="2"/>
      <c r="BC70" s="2"/>
      <c r="BD70" s="2"/>
      <c r="BE70" s="2"/>
      <c r="BF70" s="2"/>
      <c r="BG70" s="2"/>
      <c r="BH70" s="2"/>
      <c r="BI70" s="192"/>
      <c r="BL70" s="191"/>
      <c r="BM70" s="368"/>
      <c r="BN70" s="368"/>
      <c r="BO70" s="368"/>
      <c r="BP70" s="368"/>
      <c r="BQ70" s="368"/>
      <c r="BR70" s="368"/>
      <c r="BS70" s="368"/>
      <c r="BT70" s="368"/>
      <c r="BU70" s="368"/>
      <c r="BV70" s="368"/>
      <c r="BW70" s="368"/>
      <c r="BX70" s="368"/>
      <c r="BY70" s="368"/>
      <c r="BZ70" s="368"/>
      <c r="CA70" s="368"/>
      <c r="CB70" s="368"/>
      <c r="CC70" s="368"/>
      <c r="CD70" s="368"/>
      <c r="CE70" s="368"/>
      <c r="CF70" s="368"/>
      <c r="CG70" s="368"/>
      <c r="CH70" s="368"/>
      <c r="CI70" s="368"/>
      <c r="CJ70" s="368"/>
      <c r="CK70" s="368"/>
      <c r="CL70" s="368"/>
      <c r="CM70" s="368"/>
      <c r="CN70" s="368"/>
      <c r="CO70" s="368"/>
      <c r="CP70" s="368"/>
      <c r="CQ70" s="368"/>
      <c r="CR70" s="368"/>
      <c r="CS70" s="368"/>
      <c r="CT70" s="368"/>
      <c r="CU70" s="368"/>
      <c r="CV70" s="368"/>
      <c r="CW70" s="368"/>
      <c r="CX70" s="368"/>
      <c r="CY70" s="368"/>
      <c r="CZ70" s="368"/>
      <c r="DA70" s="368"/>
      <c r="DB70" s="368"/>
      <c r="DC70" s="368"/>
      <c r="DD70" s="368"/>
      <c r="DE70" s="368"/>
      <c r="DF70" s="368"/>
      <c r="DG70" s="368"/>
      <c r="DH70" s="368"/>
      <c r="DI70" s="368"/>
      <c r="DJ70" s="368"/>
      <c r="DK70" s="368"/>
      <c r="DL70" s="368"/>
      <c r="DM70" s="368"/>
      <c r="DN70" s="368"/>
      <c r="DO70" s="368"/>
      <c r="DP70" s="368"/>
      <c r="DQ70" s="2"/>
      <c r="DR70" s="2"/>
      <c r="DS70" s="192"/>
    </row>
    <row r="71" spans="2:123" ht="9.4499999999999993" customHeight="1" x14ac:dyDescent="0.3">
      <c r="B71" s="191"/>
      <c r="C71" s="2"/>
      <c r="D71" s="2"/>
      <c r="E71" s="2"/>
      <c r="F71" s="2"/>
      <c r="G71" s="2"/>
      <c r="H71" s="2"/>
      <c r="I71" s="2"/>
      <c r="J71" s="2"/>
      <c r="K71" s="2"/>
      <c r="L71" s="2"/>
      <c r="M71" s="2"/>
      <c r="N71" s="2"/>
      <c r="O71" s="2"/>
      <c r="P71" s="2"/>
      <c r="Q71" s="2"/>
      <c r="R71" s="2"/>
      <c r="S71" s="2"/>
      <c r="T71" s="2"/>
      <c r="U71" s="2"/>
      <c r="V71" s="2"/>
      <c r="W71" s="2"/>
      <c r="AO71" s="2"/>
      <c r="AP71" s="2"/>
      <c r="AQ71" s="2"/>
      <c r="AR71" s="2"/>
      <c r="AS71" s="2"/>
      <c r="AT71" s="2"/>
      <c r="AU71" s="2"/>
      <c r="AV71" s="2"/>
      <c r="AW71" s="2"/>
      <c r="AX71" s="2"/>
      <c r="AY71" s="2"/>
      <c r="AZ71" s="2"/>
      <c r="BA71" s="2"/>
      <c r="BB71" s="2"/>
      <c r="BC71" s="2"/>
      <c r="BD71" s="2"/>
      <c r="BE71" s="2"/>
      <c r="BF71" s="2"/>
      <c r="BG71" s="2"/>
      <c r="BH71" s="2"/>
      <c r="BI71" s="192"/>
      <c r="BL71" s="191"/>
      <c r="BM71" s="367"/>
      <c r="BN71" s="367"/>
      <c r="BO71" s="367"/>
      <c r="BP71" s="367"/>
      <c r="BQ71" s="367"/>
      <c r="BR71" s="367"/>
      <c r="BS71" s="367"/>
      <c r="BT71" s="367"/>
      <c r="BU71" s="367"/>
      <c r="BV71" s="367"/>
      <c r="BW71" s="367"/>
      <c r="BX71" s="367"/>
      <c r="BY71" s="367"/>
      <c r="BZ71" s="367"/>
      <c r="CA71" s="367"/>
      <c r="CB71" s="367"/>
      <c r="CC71" s="367"/>
      <c r="CD71" s="367"/>
      <c r="CE71" s="367"/>
      <c r="CF71" s="367"/>
      <c r="CG71" s="367"/>
      <c r="CH71" s="367"/>
      <c r="CI71" s="367"/>
      <c r="CJ71" s="367"/>
      <c r="CK71" s="367"/>
      <c r="CL71" s="367"/>
      <c r="CM71" s="367"/>
      <c r="CN71" s="367"/>
      <c r="CO71" s="367"/>
      <c r="CP71" s="367"/>
      <c r="CQ71" s="367"/>
      <c r="CR71" s="367"/>
      <c r="CS71" s="367"/>
      <c r="CT71" s="367"/>
      <c r="CU71" s="367"/>
      <c r="CV71" s="367"/>
      <c r="CW71" s="367"/>
      <c r="CX71" s="367"/>
      <c r="CY71" s="367"/>
      <c r="CZ71" s="367"/>
      <c r="DA71" s="367"/>
      <c r="DB71" s="367"/>
      <c r="DC71" s="367"/>
      <c r="DD71" s="367"/>
      <c r="DE71" s="367"/>
      <c r="DF71" s="367"/>
      <c r="DG71" s="367"/>
      <c r="DH71" s="367"/>
      <c r="DI71" s="367"/>
      <c r="DJ71" s="367"/>
      <c r="DK71" s="367"/>
      <c r="DL71" s="367"/>
      <c r="DM71" s="367"/>
      <c r="DN71" s="367"/>
      <c r="DO71" s="367"/>
      <c r="DP71" s="367"/>
      <c r="DQ71" s="2"/>
      <c r="DR71" s="2"/>
      <c r="DS71" s="192"/>
    </row>
    <row r="72" spans="2:123" ht="9.4499999999999993" customHeight="1" x14ac:dyDescent="0.3">
      <c r="B72" s="191"/>
      <c r="C72" s="2"/>
      <c r="D72" s="2"/>
      <c r="E72" s="2"/>
      <c r="F72" s="2"/>
      <c r="G72" s="2"/>
      <c r="H72" s="2"/>
      <c r="I72" s="2"/>
      <c r="J72" s="2"/>
      <c r="K72" s="2"/>
      <c r="L72" s="2"/>
      <c r="M72" s="2"/>
      <c r="N72" s="2"/>
      <c r="O72" s="2"/>
      <c r="P72" s="2"/>
      <c r="Q72" s="2"/>
      <c r="R72" s="2"/>
      <c r="S72" s="2"/>
      <c r="T72" s="2"/>
      <c r="U72" s="2"/>
      <c r="V72" s="2"/>
      <c r="W72" s="2"/>
      <c r="AO72" s="2"/>
      <c r="AP72" s="2"/>
      <c r="AQ72" s="2"/>
      <c r="AR72" s="2"/>
      <c r="AS72" s="2"/>
      <c r="AT72" s="2"/>
      <c r="AU72" s="2"/>
      <c r="AV72" s="2"/>
      <c r="AW72" s="2"/>
      <c r="AX72" s="2"/>
      <c r="AY72" s="2"/>
      <c r="AZ72" s="2"/>
      <c r="BA72" s="2"/>
      <c r="BB72" s="2"/>
      <c r="BC72" s="2"/>
      <c r="BD72" s="2"/>
      <c r="BE72" s="2"/>
      <c r="BF72" s="2"/>
      <c r="BG72" s="2"/>
      <c r="BH72" s="2"/>
      <c r="BI72" s="192"/>
      <c r="BL72" s="191"/>
      <c r="BM72" s="367"/>
      <c r="BN72" s="367"/>
      <c r="BO72" s="367"/>
      <c r="BP72" s="367"/>
      <c r="BQ72" s="367"/>
      <c r="BR72" s="367"/>
      <c r="BS72" s="367"/>
      <c r="BT72" s="367"/>
      <c r="BU72" s="367"/>
      <c r="BV72" s="367"/>
      <c r="BW72" s="367"/>
      <c r="BX72" s="367"/>
      <c r="BY72" s="367"/>
      <c r="BZ72" s="367"/>
      <c r="CA72" s="367"/>
      <c r="CB72" s="367"/>
      <c r="CC72" s="367"/>
      <c r="CD72" s="367"/>
      <c r="CE72" s="367"/>
      <c r="CF72" s="367"/>
      <c r="CG72" s="367"/>
      <c r="CH72" s="367"/>
      <c r="CI72" s="367"/>
      <c r="CJ72" s="367"/>
      <c r="CK72" s="367"/>
      <c r="CL72" s="367"/>
      <c r="CM72" s="367"/>
      <c r="CN72" s="367"/>
      <c r="CO72" s="367"/>
      <c r="CP72" s="367"/>
      <c r="CQ72" s="367"/>
      <c r="CR72" s="367"/>
      <c r="CS72" s="367"/>
      <c r="CT72" s="367"/>
      <c r="CU72" s="367"/>
      <c r="CV72" s="367"/>
      <c r="CW72" s="367"/>
      <c r="CX72" s="367"/>
      <c r="CY72" s="367"/>
      <c r="CZ72" s="367"/>
      <c r="DA72" s="367"/>
      <c r="DB72" s="367"/>
      <c r="DC72" s="367"/>
      <c r="DD72" s="367"/>
      <c r="DE72" s="367"/>
      <c r="DF72" s="367"/>
      <c r="DG72" s="367"/>
      <c r="DH72" s="367"/>
      <c r="DI72" s="367"/>
      <c r="DJ72" s="367"/>
      <c r="DK72" s="367"/>
      <c r="DL72" s="367"/>
      <c r="DM72" s="367"/>
      <c r="DN72" s="367"/>
      <c r="DO72" s="367"/>
      <c r="DP72" s="367"/>
      <c r="DQ72" s="2"/>
      <c r="DR72" s="2"/>
      <c r="DS72" s="192"/>
    </row>
    <row r="73" spans="2:123" ht="9.4499999999999993" customHeight="1" x14ac:dyDescent="0.3">
      <c r="B73" s="191"/>
      <c r="C73" s="2"/>
      <c r="D73" s="2"/>
      <c r="E73" s="2"/>
      <c r="F73" s="2"/>
      <c r="G73" s="2"/>
      <c r="H73" s="2"/>
      <c r="I73" s="2"/>
      <c r="J73" s="2"/>
      <c r="K73" s="2"/>
      <c r="L73" s="2"/>
      <c r="M73" s="2"/>
      <c r="N73" s="2"/>
      <c r="O73" s="2"/>
      <c r="P73" s="2"/>
      <c r="Q73" s="2"/>
      <c r="R73" s="2"/>
      <c r="S73" s="2"/>
      <c r="T73" s="2"/>
      <c r="U73" s="2"/>
      <c r="V73" s="2"/>
      <c r="W73" s="2"/>
      <c r="AO73" s="2"/>
      <c r="AP73" s="2"/>
      <c r="AQ73" s="2"/>
      <c r="AR73" s="2"/>
      <c r="AS73" s="2"/>
      <c r="AT73" s="2"/>
      <c r="AU73" s="2"/>
      <c r="AV73" s="2"/>
      <c r="AW73" s="2"/>
      <c r="AX73" s="2"/>
      <c r="AY73" s="2"/>
      <c r="AZ73" s="2"/>
      <c r="BA73" s="2"/>
      <c r="BB73" s="2"/>
      <c r="BC73" s="2"/>
      <c r="BD73" s="2"/>
      <c r="BE73" s="2"/>
      <c r="BF73" s="2"/>
      <c r="BG73" s="2"/>
      <c r="BH73" s="2"/>
      <c r="BI73" s="192"/>
      <c r="BL73" s="191"/>
      <c r="BM73" s="367"/>
      <c r="BN73" s="367"/>
      <c r="BO73" s="367"/>
      <c r="BP73" s="367"/>
      <c r="BQ73" s="367"/>
      <c r="BR73" s="367"/>
      <c r="BS73" s="367"/>
      <c r="BT73" s="367"/>
      <c r="BU73" s="367"/>
      <c r="BV73" s="367"/>
      <c r="BW73" s="367"/>
      <c r="BX73" s="367"/>
      <c r="BY73" s="367"/>
      <c r="BZ73" s="367"/>
      <c r="CA73" s="367"/>
      <c r="CB73" s="367"/>
      <c r="CC73" s="367"/>
      <c r="CD73" s="367"/>
      <c r="CE73" s="367"/>
      <c r="CF73" s="367"/>
      <c r="CG73" s="367"/>
      <c r="CH73" s="367"/>
      <c r="CI73" s="367"/>
      <c r="CJ73" s="367"/>
      <c r="CK73" s="367"/>
      <c r="CL73" s="367"/>
      <c r="CM73" s="367"/>
      <c r="CN73" s="367"/>
      <c r="CO73" s="367"/>
      <c r="CP73" s="367"/>
      <c r="CQ73" s="367"/>
      <c r="CR73" s="367"/>
      <c r="CS73" s="367"/>
      <c r="CT73" s="367"/>
      <c r="CU73" s="367"/>
      <c r="CV73" s="367"/>
      <c r="CW73" s="367"/>
      <c r="CX73" s="367"/>
      <c r="CY73" s="367"/>
      <c r="CZ73" s="367"/>
      <c r="DA73" s="367"/>
      <c r="DB73" s="367"/>
      <c r="DC73" s="367"/>
      <c r="DD73" s="367"/>
      <c r="DE73" s="367"/>
      <c r="DF73" s="367"/>
      <c r="DG73" s="367"/>
      <c r="DH73" s="367"/>
      <c r="DI73" s="367"/>
      <c r="DJ73" s="367"/>
      <c r="DK73" s="367"/>
      <c r="DL73" s="367"/>
      <c r="DM73" s="367"/>
      <c r="DN73" s="367"/>
      <c r="DO73" s="367"/>
      <c r="DP73" s="367"/>
      <c r="DQ73" s="2"/>
      <c r="DR73" s="2"/>
      <c r="DS73" s="192"/>
    </row>
    <row r="74" spans="2:123" ht="9.4499999999999993" customHeight="1" thickBot="1" x14ac:dyDescent="0.35">
      <c r="B74" s="194"/>
      <c r="C74" s="226"/>
      <c r="D74" s="226"/>
      <c r="E74" s="226"/>
      <c r="F74" s="226"/>
      <c r="G74" s="226"/>
      <c r="H74" s="226"/>
      <c r="I74" s="226"/>
      <c r="J74" s="226"/>
      <c r="K74" s="226"/>
      <c r="L74" s="226"/>
      <c r="M74" s="226"/>
      <c r="N74" s="226"/>
      <c r="O74" s="226"/>
      <c r="P74" s="226"/>
      <c r="Q74" s="226"/>
      <c r="R74" s="226"/>
      <c r="S74" s="226"/>
      <c r="T74" s="226"/>
      <c r="U74" s="226"/>
      <c r="V74" s="226"/>
      <c r="W74" s="226"/>
      <c r="X74" s="226"/>
      <c r="Y74" s="226"/>
      <c r="Z74" s="226"/>
      <c r="AA74" s="226"/>
      <c r="AB74" s="226"/>
      <c r="AC74" s="226"/>
      <c r="AD74" s="226"/>
      <c r="AE74" s="226"/>
      <c r="AF74" s="195"/>
      <c r="AG74" s="195"/>
      <c r="AH74" s="195"/>
      <c r="AI74" s="195"/>
      <c r="AJ74" s="195"/>
      <c r="AK74" s="195"/>
      <c r="AL74" s="195"/>
      <c r="AM74" s="195"/>
      <c r="AN74" s="195"/>
      <c r="AO74" s="195"/>
      <c r="AP74" s="195"/>
      <c r="AQ74" s="195"/>
      <c r="AR74" s="195"/>
      <c r="AS74" s="195"/>
      <c r="AT74" s="195"/>
      <c r="AU74" s="195"/>
      <c r="AV74" s="195"/>
      <c r="AW74" s="195"/>
      <c r="AX74" s="195"/>
      <c r="AY74" s="195"/>
      <c r="AZ74" s="195"/>
      <c r="BA74" s="195"/>
      <c r="BB74" s="195"/>
      <c r="BC74" s="195"/>
      <c r="BD74" s="195"/>
      <c r="BE74" s="195"/>
      <c r="BF74" s="195"/>
      <c r="BG74" s="195"/>
      <c r="BH74" s="195"/>
      <c r="BI74" s="196"/>
      <c r="BL74" s="194"/>
      <c r="BM74" s="195"/>
      <c r="BN74" s="195"/>
      <c r="BO74" s="195"/>
      <c r="BP74" s="195"/>
      <c r="BQ74" s="195"/>
      <c r="BR74" s="195"/>
      <c r="BS74" s="195"/>
      <c r="BT74" s="195"/>
      <c r="BU74" s="195"/>
      <c r="BV74" s="195"/>
      <c r="BW74" s="195"/>
      <c r="BX74" s="195"/>
      <c r="BY74" s="195"/>
      <c r="BZ74" s="195"/>
      <c r="CA74" s="195"/>
      <c r="CB74" s="195"/>
      <c r="CC74" s="195"/>
      <c r="CD74" s="195"/>
      <c r="CE74" s="195"/>
      <c r="CF74" s="195"/>
      <c r="CG74" s="195"/>
      <c r="CH74" s="195"/>
      <c r="CI74" s="195"/>
      <c r="CJ74" s="195"/>
      <c r="CK74" s="195"/>
      <c r="CL74" s="195"/>
      <c r="CM74" s="195"/>
      <c r="CN74" s="195"/>
      <c r="CO74" s="195"/>
      <c r="CP74" s="195"/>
      <c r="CQ74" s="195"/>
      <c r="CR74" s="195"/>
      <c r="CS74" s="195"/>
      <c r="CT74" s="195"/>
      <c r="CU74" s="195"/>
      <c r="CV74" s="195"/>
      <c r="CW74" s="195"/>
      <c r="CX74" s="195"/>
      <c r="CY74" s="195"/>
      <c r="CZ74" s="195"/>
      <c r="DA74" s="195"/>
      <c r="DB74" s="195"/>
      <c r="DC74" s="195"/>
      <c r="DD74" s="195"/>
      <c r="DE74" s="195"/>
      <c r="DF74" s="195"/>
      <c r="DG74" s="195"/>
      <c r="DH74" s="195"/>
      <c r="DI74" s="195"/>
      <c r="DJ74" s="195"/>
      <c r="DK74" s="195"/>
      <c r="DL74" s="195"/>
      <c r="DM74" s="195"/>
      <c r="DN74" s="195"/>
      <c r="DO74" s="195"/>
      <c r="DP74" s="195"/>
      <c r="DQ74" s="195"/>
      <c r="DR74" s="195"/>
      <c r="DS74" s="196"/>
    </row>
    <row r="75" spans="2:123" ht="4.2" customHeight="1" x14ac:dyDescent="0.3">
      <c r="CN75">
        <v>1</v>
      </c>
    </row>
  </sheetData>
  <sheetProtection algorithmName="SHA-512" hashValue="MH3ntQ0Dnm/OoypR/p6ub2yJpAHgp433n2eR6urEmR9v9zQbCDzHbnQoDAuCGtfnn+rQRYsV3FiVifla5rZ0sA==" saltValue="b97e2PMuvUenkMXeLxRnjA==" spinCount="100000" sheet="1" objects="1" scenarios="1" selectLockedCells="1" selectUnlockedCells="1"/>
  <mergeCells count="31">
    <mergeCell ref="BM4:DP17"/>
    <mergeCell ref="BM2:DP3"/>
    <mergeCell ref="BM19:DP20"/>
    <mergeCell ref="BM21:DP35"/>
    <mergeCell ref="AV64:AW64"/>
    <mergeCell ref="BM37:DP38"/>
    <mergeCell ref="BM39:DP40"/>
    <mergeCell ref="BM41:DP42"/>
    <mergeCell ref="BM43:DP45"/>
    <mergeCell ref="BM46:DP48"/>
    <mergeCell ref="BM49:DP51"/>
    <mergeCell ref="BM52:DP54"/>
    <mergeCell ref="BM55:DP57"/>
    <mergeCell ref="BM71:DP73"/>
    <mergeCell ref="BM62:CN63"/>
    <mergeCell ref="CO62:DP63"/>
    <mergeCell ref="CO64:CS64"/>
    <mergeCell ref="CO65:CS65"/>
    <mergeCell ref="CO66:CS66"/>
    <mergeCell ref="CO67:CS67"/>
    <mergeCell ref="CU64:DP64"/>
    <mergeCell ref="CU65:DP65"/>
    <mergeCell ref="CU66:DP66"/>
    <mergeCell ref="CU67:DP67"/>
    <mergeCell ref="BM69:DP70"/>
    <mergeCell ref="BM67:CM67"/>
    <mergeCell ref="X50:AM53"/>
    <mergeCell ref="BM64:CN64"/>
    <mergeCell ref="BM65:CN65"/>
    <mergeCell ref="BM58:DP60"/>
    <mergeCell ref="BM66:CM66"/>
  </mergeCells>
  <pageMargins left="0.7" right="0.7" top="0.75" bottom="0.75" header="0.3" footer="0.3"/>
  <pageSetup scale="7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11DA6-6C59-48DC-B994-A58B36E135C3}">
  <sheetPr codeName="Sheet3">
    <tabColor theme="4" tint="0.59999389629810485"/>
  </sheetPr>
  <dimension ref="A1:BJ75"/>
  <sheetViews>
    <sheetView showGridLines="0" showRowColHeaders="0" topLeftCell="A37" zoomScaleNormal="100" workbookViewId="0">
      <selection activeCell="AW9" sqref="AW9"/>
    </sheetView>
  </sheetViews>
  <sheetFormatPr defaultColWidth="0" defaultRowHeight="9.9" customHeight="1" zeroHeight="1" x14ac:dyDescent="0.3"/>
  <cols>
    <col min="1" max="1" width="0.6640625" customWidth="1"/>
    <col min="2" max="61" width="1.6640625" customWidth="1"/>
    <col min="62" max="62" width="0.6640625" customWidth="1"/>
    <col min="63" max="16384" width="1.6640625" hidden="1"/>
  </cols>
  <sheetData>
    <row r="1" spans="1:61" ht="9.9" customHeight="1" x14ac:dyDescent="0.3">
      <c r="A1" s="217"/>
      <c r="B1" s="219"/>
      <c r="C1" s="220"/>
      <c r="D1" s="221"/>
      <c r="E1" s="221"/>
      <c r="F1" s="221"/>
      <c r="G1" s="221"/>
      <c r="H1" s="221"/>
      <c r="I1" s="221"/>
      <c r="J1" s="221"/>
      <c r="K1" s="221"/>
      <c r="L1" s="221"/>
      <c r="M1" s="221"/>
      <c r="N1" s="221"/>
      <c r="O1" s="221"/>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8"/>
    </row>
    <row r="2" spans="1:61" ht="9.9" customHeight="1" x14ac:dyDescent="0.3">
      <c r="A2" s="217"/>
      <c r="B2" s="222"/>
      <c r="C2" s="217"/>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192"/>
    </row>
    <row r="3" spans="1:61" ht="9.9" customHeight="1" x14ac:dyDescent="0.3">
      <c r="A3" s="218"/>
      <c r="B3" s="223"/>
      <c r="C3" s="218"/>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192"/>
    </row>
    <row r="4" spans="1:61" ht="9.9" customHeight="1" x14ac:dyDescent="0.3">
      <c r="A4" s="172"/>
      <c r="B4" s="191"/>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192"/>
    </row>
    <row r="5" spans="1:61" ht="9.9" customHeight="1" x14ac:dyDescent="0.3">
      <c r="A5" s="172"/>
      <c r="B5" s="191"/>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192"/>
    </row>
    <row r="6" spans="1:61" ht="9.9" customHeight="1" x14ac:dyDescent="0.3">
      <c r="A6" s="172"/>
      <c r="B6" s="191"/>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192"/>
    </row>
    <row r="7" spans="1:61" ht="9.9" customHeight="1" x14ac:dyDescent="0.3">
      <c r="A7" s="172"/>
      <c r="B7" s="191"/>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192"/>
    </row>
    <row r="8" spans="1:61" ht="9.9" customHeight="1" x14ac:dyDescent="0.3">
      <c r="A8" s="172"/>
      <c r="B8" s="191"/>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192"/>
    </row>
    <row r="9" spans="1:61" ht="9.9" customHeight="1" x14ac:dyDescent="0.3">
      <c r="A9" s="172"/>
      <c r="B9" s="191"/>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192"/>
    </row>
    <row r="10" spans="1:61" ht="9.9" customHeight="1" x14ac:dyDescent="0.3">
      <c r="A10" s="172"/>
      <c r="B10" s="191"/>
      <c r="C10" s="368" t="s">
        <v>498</v>
      </c>
      <c r="D10" s="368"/>
      <c r="E10" s="368"/>
      <c r="F10" s="368"/>
      <c r="G10" s="368"/>
      <c r="H10" s="368"/>
      <c r="I10" s="368"/>
      <c r="J10" s="368"/>
      <c r="K10" s="368"/>
      <c r="L10" s="368"/>
      <c r="M10" s="368"/>
      <c r="N10" s="368"/>
      <c r="O10" s="368"/>
      <c r="P10" s="368"/>
      <c r="Q10" s="368"/>
      <c r="R10" s="368"/>
      <c r="S10" s="368"/>
      <c r="T10" s="368"/>
      <c r="U10" s="368"/>
      <c r="V10" s="368"/>
      <c r="W10" s="368"/>
      <c r="X10" s="368"/>
      <c r="Y10" s="368"/>
      <c r="Z10" s="368"/>
      <c r="AA10" s="368"/>
      <c r="AB10" s="368"/>
      <c r="AC10" s="368"/>
      <c r="AD10" s="368"/>
      <c r="AE10" s="368"/>
      <c r="AF10" s="368"/>
      <c r="AG10" s="368"/>
      <c r="AH10" s="368"/>
      <c r="AI10" s="368"/>
      <c r="AJ10" s="368"/>
      <c r="AK10" s="368"/>
      <c r="AL10" s="368"/>
      <c r="AM10" s="368"/>
      <c r="AN10" s="368"/>
      <c r="AO10" s="368"/>
      <c r="AP10" s="368"/>
      <c r="AQ10" s="368"/>
      <c r="AR10" s="368"/>
      <c r="AS10" s="368"/>
      <c r="AT10" s="368"/>
      <c r="AU10" s="368"/>
      <c r="AV10" s="368"/>
      <c r="AW10" s="368"/>
      <c r="AX10" s="368"/>
      <c r="AY10" s="368"/>
      <c r="AZ10" s="368"/>
      <c r="BA10" s="368"/>
      <c r="BB10" s="368"/>
      <c r="BC10" s="368"/>
      <c r="BD10" s="368"/>
      <c r="BE10" s="368"/>
      <c r="BF10" s="368"/>
      <c r="BG10" s="2"/>
      <c r="BH10" s="2"/>
      <c r="BI10" s="192"/>
    </row>
    <row r="11" spans="1:61" ht="9.9" customHeight="1" x14ac:dyDescent="0.3">
      <c r="A11" s="172"/>
      <c r="B11" s="191"/>
      <c r="C11" s="368"/>
      <c r="D11" s="368"/>
      <c r="E11" s="368"/>
      <c r="F11" s="368"/>
      <c r="G11" s="368"/>
      <c r="H11" s="368"/>
      <c r="I11" s="368"/>
      <c r="J11" s="368"/>
      <c r="K11" s="368"/>
      <c r="L11" s="368"/>
      <c r="M11" s="368"/>
      <c r="N11" s="368"/>
      <c r="O11" s="368"/>
      <c r="P11" s="368"/>
      <c r="Q11" s="368"/>
      <c r="R11" s="368"/>
      <c r="S11" s="368"/>
      <c r="T11" s="368"/>
      <c r="U11" s="368"/>
      <c r="V11" s="368"/>
      <c r="W11" s="368"/>
      <c r="X11" s="368"/>
      <c r="Y11" s="368"/>
      <c r="Z11" s="368"/>
      <c r="AA11" s="368"/>
      <c r="AB11" s="368"/>
      <c r="AC11" s="368"/>
      <c r="AD11" s="368"/>
      <c r="AE11" s="368"/>
      <c r="AF11" s="368"/>
      <c r="AG11" s="368"/>
      <c r="AH11" s="368"/>
      <c r="AI11" s="368"/>
      <c r="AJ11" s="368"/>
      <c r="AK11" s="368"/>
      <c r="AL11" s="368"/>
      <c r="AM11" s="368"/>
      <c r="AN11" s="368"/>
      <c r="AO11" s="368"/>
      <c r="AP11" s="368"/>
      <c r="AQ11" s="368"/>
      <c r="AR11" s="368"/>
      <c r="AS11" s="368"/>
      <c r="AT11" s="368"/>
      <c r="AU11" s="368"/>
      <c r="AV11" s="368"/>
      <c r="AW11" s="368"/>
      <c r="AX11" s="368"/>
      <c r="AY11" s="368"/>
      <c r="AZ11" s="368"/>
      <c r="BA11" s="368"/>
      <c r="BB11" s="368"/>
      <c r="BC11" s="368"/>
      <c r="BD11" s="368"/>
      <c r="BE11" s="368"/>
      <c r="BF11" s="368"/>
      <c r="BG11" s="2"/>
      <c r="BH11" s="2"/>
      <c r="BI11" s="192"/>
    </row>
    <row r="12" spans="1:61" ht="9.9" customHeight="1" x14ac:dyDescent="0.3">
      <c r="A12" s="172"/>
      <c r="B12" s="191"/>
      <c r="C12" s="377" t="s">
        <v>501</v>
      </c>
      <c r="D12" s="377"/>
      <c r="E12" s="377"/>
      <c r="F12" s="377"/>
      <c r="G12" s="377"/>
      <c r="H12" s="377"/>
      <c r="I12" s="377"/>
      <c r="J12" s="377"/>
      <c r="K12" s="377"/>
      <c r="L12" s="377"/>
      <c r="M12" s="377"/>
      <c r="N12" s="377"/>
      <c r="O12" s="377"/>
      <c r="P12" s="377"/>
      <c r="Q12" s="377"/>
      <c r="R12" s="377"/>
      <c r="S12" s="377"/>
      <c r="T12" s="377"/>
      <c r="U12" s="377"/>
      <c r="V12" s="377"/>
      <c r="W12" s="377"/>
      <c r="X12" s="377"/>
      <c r="Y12" s="377"/>
      <c r="Z12" s="377"/>
      <c r="AA12" s="377"/>
      <c r="AB12" s="377"/>
      <c r="AC12" s="377"/>
      <c r="AD12" s="377"/>
      <c r="AE12" s="377"/>
      <c r="AF12" s="377"/>
      <c r="AG12" s="377"/>
      <c r="AH12" s="377"/>
      <c r="AI12" s="377"/>
      <c r="AJ12" s="377"/>
      <c r="AK12" s="377"/>
      <c r="AL12" s="377"/>
      <c r="AM12" s="377"/>
      <c r="AN12" s="377"/>
      <c r="AO12" s="377"/>
      <c r="AP12" s="377"/>
      <c r="AQ12" s="377"/>
      <c r="AR12" s="377"/>
      <c r="AS12" s="377"/>
      <c r="AT12" s="377"/>
      <c r="AU12" s="377"/>
      <c r="AV12" s="377"/>
      <c r="AW12" s="377"/>
      <c r="AX12" s="377"/>
      <c r="AY12" s="377"/>
      <c r="AZ12" s="377"/>
      <c r="BA12" s="377"/>
      <c r="BB12" s="377"/>
      <c r="BC12" s="377"/>
      <c r="BD12" s="377"/>
      <c r="BE12" s="377"/>
      <c r="BF12" s="377"/>
      <c r="BG12" s="377"/>
      <c r="BH12" s="2"/>
      <c r="BI12" s="192"/>
    </row>
    <row r="13" spans="1:61" ht="9.9" customHeight="1" x14ac:dyDescent="0.3">
      <c r="A13" s="172"/>
      <c r="B13" s="191"/>
      <c r="C13" s="377"/>
      <c r="D13" s="377"/>
      <c r="E13" s="377"/>
      <c r="F13" s="377"/>
      <c r="G13" s="377"/>
      <c r="H13" s="377"/>
      <c r="I13" s="377"/>
      <c r="J13" s="377"/>
      <c r="K13" s="377"/>
      <c r="L13" s="377"/>
      <c r="M13" s="377"/>
      <c r="N13" s="377"/>
      <c r="O13" s="377"/>
      <c r="P13" s="377"/>
      <c r="Q13" s="377"/>
      <c r="R13" s="377"/>
      <c r="S13" s="377"/>
      <c r="T13" s="377"/>
      <c r="U13" s="377"/>
      <c r="V13" s="377"/>
      <c r="W13" s="377"/>
      <c r="X13" s="377"/>
      <c r="Y13" s="377"/>
      <c r="Z13" s="377"/>
      <c r="AA13" s="377"/>
      <c r="AB13" s="377"/>
      <c r="AC13" s="377"/>
      <c r="AD13" s="377"/>
      <c r="AE13" s="377"/>
      <c r="AF13" s="377"/>
      <c r="AG13" s="377"/>
      <c r="AH13" s="377"/>
      <c r="AI13" s="377"/>
      <c r="AJ13" s="377"/>
      <c r="AK13" s="377"/>
      <c r="AL13" s="377"/>
      <c r="AM13" s="377"/>
      <c r="AN13" s="377"/>
      <c r="AO13" s="377"/>
      <c r="AP13" s="377"/>
      <c r="AQ13" s="377"/>
      <c r="AR13" s="377"/>
      <c r="AS13" s="377"/>
      <c r="AT13" s="377"/>
      <c r="AU13" s="377"/>
      <c r="AV13" s="377"/>
      <c r="AW13" s="377"/>
      <c r="AX13" s="377"/>
      <c r="AY13" s="377"/>
      <c r="AZ13" s="377"/>
      <c r="BA13" s="377"/>
      <c r="BB13" s="377"/>
      <c r="BC13" s="377"/>
      <c r="BD13" s="377"/>
      <c r="BE13" s="377"/>
      <c r="BF13" s="377"/>
      <c r="BG13" s="377"/>
      <c r="BH13" s="2"/>
      <c r="BI13" s="192"/>
    </row>
    <row r="14" spans="1:61" ht="9.9" customHeight="1" x14ac:dyDescent="0.3">
      <c r="A14" s="172"/>
      <c r="B14" s="191"/>
      <c r="C14" s="377"/>
      <c r="D14" s="377"/>
      <c r="E14" s="377"/>
      <c r="F14" s="377"/>
      <c r="G14" s="377"/>
      <c r="H14" s="377"/>
      <c r="I14" s="377"/>
      <c r="J14" s="377"/>
      <c r="K14" s="377"/>
      <c r="L14" s="377"/>
      <c r="M14" s="377"/>
      <c r="N14" s="377"/>
      <c r="O14" s="377"/>
      <c r="P14" s="377"/>
      <c r="Q14" s="377"/>
      <c r="R14" s="377"/>
      <c r="S14" s="377"/>
      <c r="T14" s="377"/>
      <c r="U14" s="377"/>
      <c r="V14" s="377"/>
      <c r="W14" s="377"/>
      <c r="X14" s="377"/>
      <c r="Y14" s="377"/>
      <c r="Z14" s="377"/>
      <c r="AA14" s="377"/>
      <c r="AB14" s="377"/>
      <c r="AC14" s="377"/>
      <c r="AD14" s="377"/>
      <c r="AE14" s="377"/>
      <c r="AF14" s="377"/>
      <c r="AG14" s="377"/>
      <c r="AH14" s="377"/>
      <c r="AI14" s="377"/>
      <c r="AJ14" s="377"/>
      <c r="AK14" s="377"/>
      <c r="AL14" s="377"/>
      <c r="AM14" s="377"/>
      <c r="AN14" s="377"/>
      <c r="AO14" s="377"/>
      <c r="AP14" s="377"/>
      <c r="AQ14" s="377"/>
      <c r="AR14" s="377"/>
      <c r="AS14" s="377"/>
      <c r="AT14" s="377"/>
      <c r="AU14" s="377"/>
      <c r="AV14" s="377"/>
      <c r="AW14" s="377"/>
      <c r="AX14" s="377"/>
      <c r="AY14" s="377"/>
      <c r="AZ14" s="377"/>
      <c r="BA14" s="377"/>
      <c r="BB14" s="377"/>
      <c r="BC14" s="377"/>
      <c r="BD14" s="377"/>
      <c r="BE14" s="377"/>
      <c r="BF14" s="377"/>
      <c r="BG14" s="377"/>
      <c r="BH14" s="2"/>
      <c r="BI14" s="192"/>
    </row>
    <row r="15" spans="1:61" ht="9.9" customHeight="1" x14ac:dyDescent="0.3">
      <c r="A15" s="172"/>
      <c r="B15" s="191"/>
      <c r="C15" s="377"/>
      <c r="D15" s="377"/>
      <c r="E15" s="377"/>
      <c r="F15" s="377"/>
      <c r="G15" s="377"/>
      <c r="H15" s="377"/>
      <c r="I15" s="377"/>
      <c r="J15" s="377"/>
      <c r="K15" s="377"/>
      <c r="L15" s="377"/>
      <c r="M15" s="377"/>
      <c r="N15" s="377"/>
      <c r="O15" s="377"/>
      <c r="P15" s="377"/>
      <c r="Q15" s="377"/>
      <c r="R15" s="377"/>
      <c r="S15" s="377"/>
      <c r="T15" s="377"/>
      <c r="U15" s="377"/>
      <c r="V15" s="377"/>
      <c r="W15" s="377"/>
      <c r="X15" s="377"/>
      <c r="Y15" s="377"/>
      <c r="Z15" s="377"/>
      <c r="AA15" s="377"/>
      <c r="AB15" s="377"/>
      <c r="AC15" s="377"/>
      <c r="AD15" s="377"/>
      <c r="AE15" s="377"/>
      <c r="AF15" s="377"/>
      <c r="AG15" s="377"/>
      <c r="AH15" s="377"/>
      <c r="AI15" s="377"/>
      <c r="AJ15" s="377"/>
      <c r="AK15" s="377"/>
      <c r="AL15" s="377"/>
      <c r="AM15" s="377"/>
      <c r="AN15" s="377"/>
      <c r="AO15" s="377"/>
      <c r="AP15" s="377"/>
      <c r="AQ15" s="377"/>
      <c r="AR15" s="377"/>
      <c r="AS15" s="377"/>
      <c r="AT15" s="377"/>
      <c r="AU15" s="377"/>
      <c r="AV15" s="377"/>
      <c r="AW15" s="377"/>
      <c r="AX15" s="377"/>
      <c r="AY15" s="377"/>
      <c r="AZ15" s="377"/>
      <c r="BA15" s="377"/>
      <c r="BB15" s="377"/>
      <c r="BC15" s="377"/>
      <c r="BD15" s="377"/>
      <c r="BE15" s="377"/>
      <c r="BF15" s="377"/>
      <c r="BG15" s="377"/>
      <c r="BH15" s="2"/>
      <c r="BI15" s="192"/>
    </row>
    <row r="16" spans="1:61" ht="9.9" customHeight="1" x14ac:dyDescent="0.3">
      <c r="A16" s="172"/>
      <c r="B16" s="191"/>
      <c r="C16" s="377"/>
      <c r="D16" s="377"/>
      <c r="E16" s="377"/>
      <c r="F16" s="377"/>
      <c r="G16" s="377"/>
      <c r="H16" s="377"/>
      <c r="I16" s="377"/>
      <c r="J16" s="377"/>
      <c r="K16" s="377"/>
      <c r="L16" s="377"/>
      <c r="M16" s="377"/>
      <c r="N16" s="377"/>
      <c r="O16" s="377"/>
      <c r="P16" s="377"/>
      <c r="Q16" s="377"/>
      <c r="R16" s="377"/>
      <c r="S16" s="377"/>
      <c r="T16" s="377"/>
      <c r="U16" s="377"/>
      <c r="V16" s="377"/>
      <c r="W16" s="377"/>
      <c r="X16" s="377"/>
      <c r="Y16" s="377"/>
      <c r="Z16" s="377"/>
      <c r="AA16" s="377"/>
      <c r="AB16" s="377"/>
      <c r="AC16" s="377"/>
      <c r="AD16" s="377"/>
      <c r="AE16" s="377"/>
      <c r="AF16" s="377"/>
      <c r="AG16" s="377"/>
      <c r="AH16" s="377"/>
      <c r="AI16" s="377"/>
      <c r="AJ16" s="377"/>
      <c r="AK16" s="377"/>
      <c r="AL16" s="377"/>
      <c r="AM16" s="377"/>
      <c r="AN16" s="377"/>
      <c r="AO16" s="377"/>
      <c r="AP16" s="377"/>
      <c r="AQ16" s="377"/>
      <c r="AR16" s="377"/>
      <c r="AS16" s="377"/>
      <c r="AT16" s="377"/>
      <c r="AU16" s="377"/>
      <c r="AV16" s="377"/>
      <c r="AW16" s="377"/>
      <c r="AX16" s="377"/>
      <c r="AY16" s="377"/>
      <c r="AZ16" s="377"/>
      <c r="BA16" s="377"/>
      <c r="BB16" s="377"/>
      <c r="BC16" s="377"/>
      <c r="BD16" s="377"/>
      <c r="BE16" s="377"/>
      <c r="BF16" s="377"/>
      <c r="BG16" s="377"/>
      <c r="BH16" s="2"/>
      <c r="BI16" s="192"/>
    </row>
    <row r="17" spans="1:61" ht="9.9" customHeight="1" x14ac:dyDescent="0.3">
      <c r="A17" s="172"/>
      <c r="B17" s="191"/>
      <c r="C17" s="377"/>
      <c r="D17" s="377"/>
      <c r="E17" s="377"/>
      <c r="F17" s="377"/>
      <c r="G17" s="377"/>
      <c r="H17" s="377"/>
      <c r="I17" s="377"/>
      <c r="J17" s="377"/>
      <c r="K17" s="377"/>
      <c r="L17" s="377"/>
      <c r="M17" s="377"/>
      <c r="N17" s="377"/>
      <c r="O17" s="377"/>
      <c r="P17" s="377"/>
      <c r="Q17" s="377"/>
      <c r="R17" s="377"/>
      <c r="S17" s="377"/>
      <c r="T17" s="377"/>
      <c r="U17" s="377"/>
      <c r="V17" s="377"/>
      <c r="W17" s="377"/>
      <c r="X17" s="377"/>
      <c r="Y17" s="377"/>
      <c r="Z17" s="377"/>
      <c r="AA17" s="377"/>
      <c r="AB17" s="377"/>
      <c r="AC17" s="377"/>
      <c r="AD17" s="377"/>
      <c r="AE17" s="377"/>
      <c r="AF17" s="377"/>
      <c r="AG17" s="377"/>
      <c r="AH17" s="377"/>
      <c r="AI17" s="377"/>
      <c r="AJ17" s="377"/>
      <c r="AK17" s="377"/>
      <c r="AL17" s="377"/>
      <c r="AM17" s="377"/>
      <c r="AN17" s="377"/>
      <c r="AO17" s="377"/>
      <c r="AP17" s="377"/>
      <c r="AQ17" s="377"/>
      <c r="AR17" s="377"/>
      <c r="AS17" s="377"/>
      <c r="AT17" s="377"/>
      <c r="AU17" s="377"/>
      <c r="AV17" s="377"/>
      <c r="AW17" s="377"/>
      <c r="AX17" s="377"/>
      <c r="AY17" s="377"/>
      <c r="AZ17" s="377"/>
      <c r="BA17" s="377"/>
      <c r="BB17" s="377"/>
      <c r="BC17" s="377"/>
      <c r="BD17" s="377"/>
      <c r="BE17" s="377"/>
      <c r="BF17" s="377"/>
      <c r="BG17" s="377"/>
      <c r="BH17" s="2"/>
      <c r="BI17" s="192"/>
    </row>
    <row r="18" spans="1:61" ht="9.9" customHeight="1" x14ac:dyDescent="0.3">
      <c r="A18" s="172"/>
      <c r="B18" s="191"/>
      <c r="C18" s="377"/>
      <c r="D18" s="377"/>
      <c r="E18" s="377"/>
      <c r="F18" s="377"/>
      <c r="G18" s="377"/>
      <c r="H18" s="377"/>
      <c r="I18" s="377"/>
      <c r="J18" s="377"/>
      <c r="K18" s="377"/>
      <c r="L18" s="377"/>
      <c r="M18" s="377"/>
      <c r="N18" s="377"/>
      <c r="O18" s="377"/>
      <c r="P18" s="377"/>
      <c r="Q18" s="377"/>
      <c r="R18" s="377"/>
      <c r="S18" s="377"/>
      <c r="T18" s="377"/>
      <c r="U18" s="377"/>
      <c r="V18" s="377"/>
      <c r="W18" s="377"/>
      <c r="X18" s="377"/>
      <c r="Y18" s="377"/>
      <c r="Z18" s="377"/>
      <c r="AA18" s="377"/>
      <c r="AB18" s="377"/>
      <c r="AC18" s="377"/>
      <c r="AD18" s="377"/>
      <c r="AE18" s="377"/>
      <c r="AF18" s="377"/>
      <c r="AG18" s="377"/>
      <c r="AH18" s="377"/>
      <c r="AI18" s="377"/>
      <c r="AJ18" s="377"/>
      <c r="AK18" s="377"/>
      <c r="AL18" s="377"/>
      <c r="AM18" s="377"/>
      <c r="AN18" s="377"/>
      <c r="AO18" s="377"/>
      <c r="AP18" s="377"/>
      <c r="AQ18" s="377"/>
      <c r="AR18" s="377"/>
      <c r="AS18" s="377"/>
      <c r="AT18" s="377"/>
      <c r="AU18" s="377"/>
      <c r="AV18" s="377"/>
      <c r="AW18" s="377"/>
      <c r="AX18" s="377"/>
      <c r="AY18" s="377"/>
      <c r="AZ18" s="377"/>
      <c r="BA18" s="377"/>
      <c r="BB18" s="377"/>
      <c r="BC18" s="377"/>
      <c r="BD18" s="377"/>
      <c r="BE18" s="377"/>
      <c r="BF18" s="377"/>
      <c r="BG18" s="377"/>
      <c r="BH18" s="2"/>
      <c r="BI18" s="192"/>
    </row>
    <row r="19" spans="1:61" ht="9.9" customHeight="1" x14ac:dyDescent="0.3">
      <c r="A19" s="172"/>
      <c r="B19" s="191"/>
      <c r="C19" s="377"/>
      <c r="D19" s="377"/>
      <c r="E19" s="377"/>
      <c r="F19" s="377"/>
      <c r="G19" s="377"/>
      <c r="H19" s="377"/>
      <c r="I19" s="377"/>
      <c r="J19" s="377"/>
      <c r="K19" s="377"/>
      <c r="L19" s="377"/>
      <c r="M19" s="377"/>
      <c r="N19" s="377"/>
      <c r="O19" s="377"/>
      <c r="P19" s="377"/>
      <c r="Q19" s="377"/>
      <c r="R19" s="377"/>
      <c r="S19" s="377"/>
      <c r="T19" s="377"/>
      <c r="U19" s="377"/>
      <c r="V19" s="377"/>
      <c r="W19" s="377"/>
      <c r="X19" s="377"/>
      <c r="Y19" s="377"/>
      <c r="Z19" s="377"/>
      <c r="AA19" s="377"/>
      <c r="AB19" s="377"/>
      <c r="AC19" s="377"/>
      <c r="AD19" s="377"/>
      <c r="AE19" s="377"/>
      <c r="AF19" s="377"/>
      <c r="AG19" s="377"/>
      <c r="AH19" s="377"/>
      <c r="AI19" s="377"/>
      <c r="AJ19" s="377"/>
      <c r="AK19" s="377"/>
      <c r="AL19" s="377"/>
      <c r="AM19" s="377"/>
      <c r="AN19" s="377"/>
      <c r="AO19" s="377"/>
      <c r="AP19" s="377"/>
      <c r="AQ19" s="377"/>
      <c r="AR19" s="377"/>
      <c r="AS19" s="377"/>
      <c r="AT19" s="377"/>
      <c r="AU19" s="377"/>
      <c r="AV19" s="377"/>
      <c r="AW19" s="377"/>
      <c r="AX19" s="377"/>
      <c r="AY19" s="377"/>
      <c r="AZ19" s="377"/>
      <c r="BA19" s="377"/>
      <c r="BB19" s="377"/>
      <c r="BC19" s="377"/>
      <c r="BD19" s="377"/>
      <c r="BE19" s="377"/>
      <c r="BF19" s="377"/>
      <c r="BG19" s="377"/>
      <c r="BH19" s="2"/>
      <c r="BI19" s="192"/>
    </row>
    <row r="20" spans="1:61" ht="9.9" customHeight="1" x14ac:dyDescent="0.3">
      <c r="A20" s="7"/>
      <c r="B20" s="191"/>
      <c r="C20" s="377"/>
      <c r="D20" s="377"/>
      <c r="E20" s="377"/>
      <c r="F20" s="377"/>
      <c r="G20" s="377"/>
      <c r="H20" s="377"/>
      <c r="I20" s="377"/>
      <c r="J20" s="377"/>
      <c r="K20" s="377"/>
      <c r="L20" s="377"/>
      <c r="M20" s="377"/>
      <c r="N20" s="377"/>
      <c r="O20" s="377"/>
      <c r="P20" s="377"/>
      <c r="Q20" s="377"/>
      <c r="R20" s="377"/>
      <c r="S20" s="377"/>
      <c r="T20" s="377"/>
      <c r="U20" s="377"/>
      <c r="V20" s="377"/>
      <c r="W20" s="377"/>
      <c r="X20" s="377"/>
      <c r="Y20" s="377"/>
      <c r="Z20" s="377"/>
      <c r="AA20" s="377"/>
      <c r="AB20" s="377"/>
      <c r="AC20" s="377"/>
      <c r="AD20" s="377"/>
      <c r="AE20" s="377"/>
      <c r="AF20" s="377"/>
      <c r="AG20" s="377"/>
      <c r="AH20" s="377"/>
      <c r="AI20" s="377"/>
      <c r="AJ20" s="377"/>
      <c r="AK20" s="377"/>
      <c r="AL20" s="377"/>
      <c r="AM20" s="377"/>
      <c r="AN20" s="377"/>
      <c r="AO20" s="377"/>
      <c r="AP20" s="377"/>
      <c r="AQ20" s="377"/>
      <c r="AR20" s="377"/>
      <c r="AS20" s="377"/>
      <c r="AT20" s="377"/>
      <c r="AU20" s="377"/>
      <c r="AV20" s="377"/>
      <c r="AW20" s="377"/>
      <c r="AX20" s="377"/>
      <c r="AY20" s="377"/>
      <c r="AZ20" s="377"/>
      <c r="BA20" s="377"/>
      <c r="BB20" s="377"/>
      <c r="BC20" s="377"/>
      <c r="BD20" s="377"/>
      <c r="BE20" s="377"/>
      <c r="BF20" s="377"/>
      <c r="BG20" s="377"/>
      <c r="BH20" s="2"/>
      <c r="BI20" s="192"/>
    </row>
    <row r="21" spans="1:61" ht="9.9" customHeight="1" x14ac:dyDescent="0.45">
      <c r="A21" s="130"/>
      <c r="B21" s="191"/>
      <c r="C21" s="377"/>
      <c r="D21" s="377"/>
      <c r="E21" s="377"/>
      <c r="F21" s="377"/>
      <c r="G21" s="377"/>
      <c r="H21" s="377"/>
      <c r="I21" s="377"/>
      <c r="J21" s="377"/>
      <c r="K21" s="377"/>
      <c r="L21" s="377"/>
      <c r="M21" s="377"/>
      <c r="N21" s="377"/>
      <c r="O21" s="377"/>
      <c r="P21" s="377"/>
      <c r="Q21" s="377"/>
      <c r="R21" s="377"/>
      <c r="S21" s="377"/>
      <c r="T21" s="377"/>
      <c r="U21" s="377"/>
      <c r="V21" s="377"/>
      <c r="W21" s="377"/>
      <c r="X21" s="377"/>
      <c r="Y21" s="377"/>
      <c r="Z21" s="377"/>
      <c r="AA21" s="377"/>
      <c r="AB21" s="377"/>
      <c r="AC21" s="377"/>
      <c r="AD21" s="377"/>
      <c r="AE21" s="377"/>
      <c r="AF21" s="377"/>
      <c r="AG21" s="377"/>
      <c r="AH21" s="377"/>
      <c r="AI21" s="377"/>
      <c r="AJ21" s="377"/>
      <c r="AK21" s="377"/>
      <c r="AL21" s="377"/>
      <c r="AM21" s="377"/>
      <c r="AN21" s="377"/>
      <c r="AO21" s="377"/>
      <c r="AP21" s="377"/>
      <c r="AQ21" s="377"/>
      <c r="AR21" s="377"/>
      <c r="AS21" s="377"/>
      <c r="AT21" s="377"/>
      <c r="AU21" s="377"/>
      <c r="AV21" s="377"/>
      <c r="AW21" s="377"/>
      <c r="AX21" s="377"/>
      <c r="AY21" s="377"/>
      <c r="AZ21" s="377"/>
      <c r="BA21" s="377"/>
      <c r="BB21" s="377"/>
      <c r="BC21" s="377"/>
      <c r="BD21" s="377"/>
      <c r="BE21" s="377"/>
      <c r="BF21" s="377"/>
      <c r="BG21" s="377"/>
      <c r="BH21" s="2"/>
      <c r="BI21" s="192"/>
    </row>
    <row r="22" spans="1:61" ht="9.9" customHeight="1" x14ac:dyDescent="0.3">
      <c r="A22" s="1"/>
      <c r="B22" s="191"/>
      <c r="C22" s="377"/>
      <c r="D22" s="377"/>
      <c r="E22" s="377"/>
      <c r="F22" s="377"/>
      <c r="G22" s="377"/>
      <c r="H22" s="377"/>
      <c r="I22" s="377"/>
      <c r="J22" s="377"/>
      <c r="K22" s="377"/>
      <c r="L22" s="377"/>
      <c r="M22" s="377"/>
      <c r="N22" s="377"/>
      <c r="O22" s="377"/>
      <c r="P22" s="377"/>
      <c r="Q22" s="377"/>
      <c r="R22" s="377"/>
      <c r="S22" s="377"/>
      <c r="T22" s="377"/>
      <c r="U22" s="377"/>
      <c r="V22" s="377"/>
      <c r="W22" s="377"/>
      <c r="X22" s="377"/>
      <c r="Y22" s="377"/>
      <c r="Z22" s="377"/>
      <c r="AA22" s="377"/>
      <c r="AB22" s="377"/>
      <c r="AC22" s="377"/>
      <c r="AD22" s="377"/>
      <c r="AE22" s="377"/>
      <c r="AF22" s="377"/>
      <c r="AG22" s="377"/>
      <c r="AH22" s="377"/>
      <c r="AI22" s="377"/>
      <c r="AJ22" s="377"/>
      <c r="AK22" s="377"/>
      <c r="AL22" s="377"/>
      <c r="AM22" s="377"/>
      <c r="AN22" s="377"/>
      <c r="AO22" s="377"/>
      <c r="AP22" s="377"/>
      <c r="AQ22" s="377"/>
      <c r="AR22" s="377"/>
      <c r="AS22" s="377"/>
      <c r="AT22" s="377"/>
      <c r="AU22" s="377"/>
      <c r="AV22" s="377"/>
      <c r="AW22" s="377"/>
      <c r="AX22" s="377"/>
      <c r="AY22" s="377"/>
      <c r="AZ22" s="377"/>
      <c r="BA22" s="377"/>
      <c r="BB22" s="377"/>
      <c r="BC22" s="377"/>
      <c r="BD22" s="377"/>
      <c r="BE22" s="377"/>
      <c r="BF22" s="377"/>
      <c r="BG22" s="377"/>
      <c r="BH22" s="2"/>
      <c r="BI22" s="192"/>
    </row>
    <row r="23" spans="1:61" ht="9.9" customHeight="1" x14ac:dyDescent="0.3">
      <c r="A23" s="172"/>
      <c r="B23" s="191"/>
      <c r="C23" s="377"/>
      <c r="D23" s="377"/>
      <c r="E23" s="377"/>
      <c r="F23" s="377"/>
      <c r="G23" s="377"/>
      <c r="H23" s="377"/>
      <c r="I23" s="377"/>
      <c r="J23" s="377"/>
      <c r="K23" s="377"/>
      <c r="L23" s="377"/>
      <c r="M23" s="377"/>
      <c r="N23" s="377"/>
      <c r="O23" s="377"/>
      <c r="P23" s="377"/>
      <c r="Q23" s="377"/>
      <c r="R23" s="377"/>
      <c r="S23" s="377"/>
      <c r="T23" s="377"/>
      <c r="U23" s="377"/>
      <c r="V23" s="377"/>
      <c r="W23" s="377"/>
      <c r="X23" s="377"/>
      <c r="Y23" s="377"/>
      <c r="Z23" s="377"/>
      <c r="AA23" s="377"/>
      <c r="AB23" s="377"/>
      <c r="AC23" s="377"/>
      <c r="AD23" s="377"/>
      <c r="AE23" s="377"/>
      <c r="AF23" s="377"/>
      <c r="AG23" s="377"/>
      <c r="AH23" s="377"/>
      <c r="AI23" s="377"/>
      <c r="AJ23" s="377"/>
      <c r="AK23" s="377"/>
      <c r="AL23" s="377"/>
      <c r="AM23" s="377"/>
      <c r="AN23" s="377"/>
      <c r="AO23" s="377"/>
      <c r="AP23" s="377"/>
      <c r="AQ23" s="377"/>
      <c r="AR23" s="377"/>
      <c r="AS23" s="377"/>
      <c r="AT23" s="377"/>
      <c r="AU23" s="377"/>
      <c r="AV23" s="377"/>
      <c r="AW23" s="377"/>
      <c r="AX23" s="377"/>
      <c r="AY23" s="377"/>
      <c r="AZ23" s="377"/>
      <c r="BA23" s="377"/>
      <c r="BB23" s="377"/>
      <c r="BC23" s="377"/>
      <c r="BD23" s="377"/>
      <c r="BE23" s="377"/>
      <c r="BF23" s="377"/>
      <c r="BG23" s="377"/>
      <c r="BH23" s="2"/>
      <c r="BI23" s="192"/>
    </row>
    <row r="24" spans="1:61" ht="9.9" customHeight="1" x14ac:dyDescent="0.3">
      <c r="A24" s="172"/>
      <c r="B24" s="191"/>
      <c r="C24" s="377"/>
      <c r="D24" s="377"/>
      <c r="E24" s="377"/>
      <c r="F24" s="377"/>
      <c r="G24" s="377"/>
      <c r="H24" s="377"/>
      <c r="I24" s="377"/>
      <c r="J24" s="377"/>
      <c r="K24" s="377"/>
      <c r="L24" s="377"/>
      <c r="M24" s="377"/>
      <c r="N24" s="377"/>
      <c r="O24" s="377"/>
      <c r="P24" s="377"/>
      <c r="Q24" s="377"/>
      <c r="R24" s="377"/>
      <c r="S24" s="377"/>
      <c r="T24" s="377"/>
      <c r="U24" s="377"/>
      <c r="V24" s="377"/>
      <c r="W24" s="377"/>
      <c r="X24" s="377"/>
      <c r="Y24" s="377"/>
      <c r="Z24" s="377"/>
      <c r="AA24" s="377"/>
      <c r="AB24" s="377"/>
      <c r="AC24" s="377"/>
      <c r="AD24" s="377"/>
      <c r="AE24" s="377"/>
      <c r="AF24" s="377"/>
      <c r="AG24" s="377"/>
      <c r="AH24" s="377"/>
      <c r="AI24" s="377"/>
      <c r="AJ24" s="377"/>
      <c r="AK24" s="377"/>
      <c r="AL24" s="377"/>
      <c r="AM24" s="377"/>
      <c r="AN24" s="377"/>
      <c r="AO24" s="377"/>
      <c r="AP24" s="377"/>
      <c r="AQ24" s="377"/>
      <c r="AR24" s="377"/>
      <c r="AS24" s="377"/>
      <c r="AT24" s="377"/>
      <c r="AU24" s="377"/>
      <c r="AV24" s="377"/>
      <c r="AW24" s="377"/>
      <c r="AX24" s="377"/>
      <c r="AY24" s="377"/>
      <c r="AZ24" s="377"/>
      <c r="BA24" s="377"/>
      <c r="BB24" s="377"/>
      <c r="BC24" s="377"/>
      <c r="BD24" s="377"/>
      <c r="BE24" s="377"/>
      <c r="BF24" s="377"/>
      <c r="BG24" s="377"/>
      <c r="BH24" s="2"/>
      <c r="BI24" s="192"/>
    </row>
    <row r="25" spans="1:61" ht="9.9" customHeight="1" x14ac:dyDescent="0.3">
      <c r="A25" s="172"/>
      <c r="B25" s="191"/>
      <c r="C25" s="377"/>
      <c r="D25" s="377"/>
      <c r="E25" s="377"/>
      <c r="F25" s="377"/>
      <c r="G25" s="377"/>
      <c r="H25" s="377"/>
      <c r="I25" s="377"/>
      <c r="J25" s="377"/>
      <c r="K25" s="377"/>
      <c r="L25" s="377"/>
      <c r="M25" s="377"/>
      <c r="N25" s="377"/>
      <c r="O25" s="377"/>
      <c r="P25" s="377"/>
      <c r="Q25" s="377"/>
      <c r="R25" s="377"/>
      <c r="S25" s="377"/>
      <c r="T25" s="377"/>
      <c r="U25" s="377"/>
      <c r="V25" s="377"/>
      <c r="W25" s="377"/>
      <c r="X25" s="377"/>
      <c r="Y25" s="377"/>
      <c r="Z25" s="377"/>
      <c r="AA25" s="377"/>
      <c r="AB25" s="377"/>
      <c r="AC25" s="377"/>
      <c r="AD25" s="377"/>
      <c r="AE25" s="377"/>
      <c r="AF25" s="377"/>
      <c r="AG25" s="377"/>
      <c r="AH25" s="377"/>
      <c r="AI25" s="377"/>
      <c r="AJ25" s="377"/>
      <c r="AK25" s="377"/>
      <c r="AL25" s="377"/>
      <c r="AM25" s="377"/>
      <c r="AN25" s="377"/>
      <c r="AO25" s="377"/>
      <c r="AP25" s="377"/>
      <c r="AQ25" s="377"/>
      <c r="AR25" s="377"/>
      <c r="AS25" s="377"/>
      <c r="AT25" s="377"/>
      <c r="AU25" s="377"/>
      <c r="AV25" s="377"/>
      <c r="AW25" s="377"/>
      <c r="AX25" s="377"/>
      <c r="AY25" s="377"/>
      <c r="AZ25" s="377"/>
      <c r="BA25" s="377"/>
      <c r="BB25" s="377"/>
      <c r="BC25" s="377"/>
      <c r="BD25" s="377"/>
      <c r="BE25" s="377"/>
      <c r="BF25" s="377"/>
      <c r="BG25" s="377"/>
      <c r="BH25" s="2"/>
      <c r="BI25" s="192"/>
    </row>
    <row r="26" spans="1:61" ht="9.9" customHeight="1" x14ac:dyDescent="0.3">
      <c r="A26" s="172"/>
      <c r="B26" s="191"/>
      <c r="C26" s="377"/>
      <c r="D26" s="377"/>
      <c r="E26" s="377"/>
      <c r="F26" s="377"/>
      <c r="G26" s="377"/>
      <c r="H26" s="377"/>
      <c r="I26" s="377"/>
      <c r="J26" s="377"/>
      <c r="K26" s="377"/>
      <c r="L26" s="377"/>
      <c r="M26" s="377"/>
      <c r="N26" s="377"/>
      <c r="O26" s="377"/>
      <c r="P26" s="377"/>
      <c r="Q26" s="377"/>
      <c r="R26" s="377"/>
      <c r="S26" s="377"/>
      <c r="T26" s="377"/>
      <c r="U26" s="377"/>
      <c r="V26" s="377"/>
      <c r="W26" s="377"/>
      <c r="X26" s="377"/>
      <c r="Y26" s="377"/>
      <c r="Z26" s="377"/>
      <c r="AA26" s="377"/>
      <c r="AB26" s="377"/>
      <c r="AC26" s="377"/>
      <c r="AD26" s="377"/>
      <c r="AE26" s="377"/>
      <c r="AF26" s="377"/>
      <c r="AG26" s="377"/>
      <c r="AH26" s="377"/>
      <c r="AI26" s="377"/>
      <c r="AJ26" s="377"/>
      <c r="AK26" s="377"/>
      <c r="AL26" s="377"/>
      <c r="AM26" s="377"/>
      <c r="AN26" s="377"/>
      <c r="AO26" s="377"/>
      <c r="AP26" s="377"/>
      <c r="AQ26" s="377"/>
      <c r="AR26" s="377"/>
      <c r="AS26" s="377"/>
      <c r="AT26" s="377"/>
      <c r="AU26" s="377"/>
      <c r="AV26" s="377"/>
      <c r="AW26" s="377"/>
      <c r="AX26" s="377"/>
      <c r="AY26" s="377"/>
      <c r="AZ26" s="377"/>
      <c r="BA26" s="377"/>
      <c r="BB26" s="377"/>
      <c r="BC26" s="377"/>
      <c r="BD26" s="377"/>
      <c r="BE26" s="377"/>
      <c r="BF26" s="377"/>
      <c r="BG26" s="377"/>
      <c r="BH26" s="2"/>
      <c r="BI26" s="192"/>
    </row>
    <row r="27" spans="1:61" ht="9.9" customHeight="1" x14ac:dyDescent="0.3">
      <c r="A27" s="172"/>
      <c r="B27" s="191"/>
      <c r="C27" s="377"/>
      <c r="D27" s="377"/>
      <c r="E27" s="377"/>
      <c r="F27" s="377"/>
      <c r="G27" s="377"/>
      <c r="H27" s="377"/>
      <c r="I27" s="377"/>
      <c r="J27" s="377"/>
      <c r="K27" s="377"/>
      <c r="L27" s="377"/>
      <c r="M27" s="377"/>
      <c r="N27" s="377"/>
      <c r="O27" s="377"/>
      <c r="P27" s="377"/>
      <c r="Q27" s="377"/>
      <c r="R27" s="377"/>
      <c r="S27" s="377"/>
      <c r="T27" s="377"/>
      <c r="U27" s="377"/>
      <c r="V27" s="377"/>
      <c r="W27" s="377"/>
      <c r="X27" s="377"/>
      <c r="Y27" s="377"/>
      <c r="Z27" s="377"/>
      <c r="AA27" s="377"/>
      <c r="AB27" s="377"/>
      <c r="AC27" s="377"/>
      <c r="AD27" s="377"/>
      <c r="AE27" s="377"/>
      <c r="AF27" s="377"/>
      <c r="AG27" s="377"/>
      <c r="AH27" s="377"/>
      <c r="AI27" s="377"/>
      <c r="AJ27" s="377"/>
      <c r="AK27" s="377"/>
      <c r="AL27" s="377"/>
      <c r="AM27" s="377"/>
      <c r="AN27" s="377"/>
      <c r="AO27" s="377"/>
      <c r="AP27" s="377"/>
      <c r="AQ27" s="377"/>
      <c r="AR27" s="377"/>
      <c r="AS27" s="377"/>
      <c r="AT27" s="377"/>
      <c r="AU27" s="377"/>
      <c r="AV27" s="377"/>
      <c r="AW27" s="377"/>
      <c r="AX27" s="377"/>
      <c r="AY27" s="377"/>
      <c r="AZ27" s="377"/>
      <c r="BA27" s="377"/>
      <c r="BB27" s="377"/>
      <c r="BC27" s="377"/>
      <c r="BD27" s="377"/>
      <c r="BE27" s="377"/>
      <c r="BF27" s="377"/>
      <c r="BG27" s="377"/>
      <c r="BH27" s="2"/>
      <c r="BI27" s="192"/>
    </row>
    <row r="28" spans="1:61" ht="9.9" customHeight="1" x14ac:dyDescent="0.3">
      <c r="A28" s="172"/>
      <c r="B28" s="191"/>
      <c r="C28" s="377"/>
      <c r="D28" s="377"/>
      <c r="E28" s="377"/>
      <c r="F28" s="377"/>
      <c r="G28" s="377"/>
      <c r="H28" s="377"/>
      <c r="I28" s="377"/>
      <c r="J28" s="377"/>
      <c r="K28" s="377"/>
      <c r="L28" s="377"/>
      <c r="M28" s="377"/>
      <c r="N28" s="377"/>
      <c r="O28" s="377"/>
      <c r="P28" s="377"/>
      <c r="Q28" s="377"/>
      <c r="R28" s="377"/>
      <c r="S28" s="377"/>
      <c r="T28" s="377"/>
      <c r="U28" s="377"/>
      <c r="V28" s="377"/>
      <c r="W28" s="377"/>
      <c r="X28" s="377"/>
      <c r="Y28" s="377"/>
      <c r="Z28" s="377"/>
      <c r="AA28" s="377"/>
      <c r="AB28" s="377"/>
      <c r="AC28" s="377"/>
      <c r="AD28" s="377"/>
      <c r="AE28" s="377"/>
      <c r="AF28" s="377"/>
      <c r="AG28" s="377"/>
      <c r="AH28" s="377"/>
      <c r="AI28" s="377"/>
      <c r="AJ28" s="377"/>
      <c r="AK28" s="377"/>
      <c r="AL28" s="377"/>
      <c r="AM28" s="377"/>
      <c r="AN28" s="377"/>
      <c r="AO28" s="377"/>
      <c r="AP28" s="377"/>
      <c r="AQ28" s="377"/>
      <c r="AR28" s="377"/>
      <c r="AS28" s="377"/>
      <c r="AT28" s="377"/>
      <c r="AU28" s="377"/>
      <c r="AV28" s="377"/>
      <c r="AW28" s="377"/>
      <c r="AX28" s="377"/>
      <c r="AY28" s="377"/>
      <c r="AZ28" s="377"/>
      <c r="BA28" s="377"/>
      <c r="BB28" s="377"/>
      <c r="BC28" s="377"/>
      <c r="BD28" s="377"/>
      <c r="BE28" s="377"/>
      <c r="BF28" s="377"/>
      <c r="BG28" s="377"/>
      <c r="BH28" s="2"/>
      <c r="BI28" s="192"/>
    </row>
    <row r="29" spans="1:61" ht="9.9" customHeight="1" x14ac:dyDescent="0.3">
      <c r="A29" s="172"/>
      <c r="B29" s="191"/>
      <c r="C29" s="377"/>
      <c r="D29" s="377"/>
      <c r="E29" s="377"/>
      <c r="F29" s="377"/>
      <c r="G29" s="377"/>
      <c r="H29" s="377"/>
      <c r="I29" s="377"/>
      <c r="J29" s="377"/>
      <c r="K29" s="377"/>
      <c r="L29" s="377"/>
      <c r="M29" s="377"/>
      <c r="N29" s="377"/>
      <c r="O29" s="377"/>
      <c r="P29" s="377"/>
      <c r="Q29" s="377"/>
      <c r="R29" s="377"/>
      <c r="S29" s="377"/>
      <c r="T29" s="377"/>
      <c r="U29" s="377"/>
      <c r="V29" s="377"/>
      <c r="W29" s="377"/>
      <c r="X29" s="377"/>
      <c r="Y29" s="377"/>
      <c r="Z29" s="377"/>
      <c r="AA29" s="377"/>
      <c r="AB29" s="377"/>
      <c r="AC29" s="377"/>
      <c r="AD29" s="377"/>
      <c r="AE29" s="377"/>
      <c r="AF29" s="377"/>
      <c r="AG29" s="377"/>
      <c r="AH29" s="377"/>
      <c r="AI29" s="377"/>
      <c r="AJ29" s="377"/>
      <c r="AK29" s="377"/>
      <c r="AL29" s="377"/>
      <c r="AM29" s="377"/>
      <c r="AN29" s="377"/>
      <c r="AO29" s="377"/>
      <c r="AP29" s="377"/>
      <c r="AQ29" s="377"/>
      <c r="AR29" s="377"/>
      <c r="AS29" s="377"/>
      <c r="AT29" s="377"/>
      <c r="AU29" s="377"/>
      <c r="AV29" s="377"/>
      <c r="AW29" s="377"/>
      <c r="AX29" s="377"/>
      <c r="AY29" s="377"/>
      <c r="AZ29" s="377"/>
      <c r="BA29" s="377"/>
      <c r="BB29" s="377"/>
      <c r="BC29" s="377"/>
      <c r="BD29" s="377"/>
      <c r="BE29" s="377"/>
      <c r="BF29" s="377"/>
      <c r="BG29" s="377"/>
      <c r="BH29" s="2"/>
      <c r="BI29" s="192"/>
    </row>
    <row r="30" spans="1:61" ht="9.9" customHeight="1" x14ac:dyDescent="0.3">
      <c r="A30" s="172"/>
      <c r="B30" s="191"/>
      <c r="C30" s="377"/>
      <c r="D30" s="377"/>
      <c r="E30" s="377"/>
      <c r="F30" s="377"/>
      <c r="G30" s="377"/>
      <c r="H30" s="377"/>
      <c r="I30" s="377"/>
      <c r="J30" s="377"/>
      <c r="K30" s="377"/>
      <c r="L30" s="377"/>
      <c r="M30" s="377"/>
      <c r="N30" s="377"/>
      <c r="O30" s="377"/>
      <c r="P30" s="377"/>
      <c r="Q30" s="377"/>
      <c r="R30" s="377"/>
      <c r="S30" s="377"/>
      <c r="T30" s="377"/>
      <c r="U30" s="377"/>
      <c r="V30" s="377"/>
      <c r="W30" s="377"/>
      <c r="X30" s="377"/>
      <c r="Y30" s="377"/>
      <c r="Z30" s="377"/>
      <c r="AA30" s="377"/>
      <c r="AB30" s="377"/>
      <c r="AC30" s="377"/>
      <c r="AD30" s="377"/>
      <c r="AE30" s="377"/>
      <c r="AF30" s="377"/>
      <c r="AG30" s="377"/>
      <c r="AH30" s="377"/>
      <c r="AI30" s="377"/>
      <c r="AJ30" s="377"/>
      <c r="AK30" s="377"/>
      <c r="AL30" s="377"/>
      <c r="AM30" s="377"/>
      <c r="AN30" s="377"/>
      <c r="AO30" s="377"/>
      <c r="AP30" s="377"/>
      <c r="AQ30" s="377"/>
      <c r="AR30" s="377"/>
      <c r="AS30" s="377"/>
      <c r="AT30" s="377"/>
      <c r="AU30" s="377"/>
      <c r="AV30" s="377"/>
      <c r="AW30" s="377"/>
      <c r="AX30" s="377"/>
      <c r="AY30" s="377"/>
      <c r="AZ30" s="377"/>
      <c r="BA30" s="377"/>
      <c r="BB30" s="377"/>
      <c r="BC30" s="377"/>
      <c r="BD30" s="377"/>
      <c r="BE30" s="377"/>
      <c r="BF30" s="377"/>
      <c r="BG30" s="377"/>
      <c r="BH30" s="2"/>
      <c r="BI30" s="192"/>
    </row>
    <row r="31" spans="1:61" ht="9.9" customHeight="1" x14ac:dyDescent="0.3">
      <c r="A31" s="172"/>
      <c r="B31" s="191"/>
      <c r="C31" s="377"/>
      <c r="D31" s="377"/>
      <c r="E31" s="377"/>
      <c r="F31" s="377"/>
      <c r="G31" s="377"/>
      <c r="H31" s="377"/>
      <c r="I31" s="377"/>
      <c r="J31" s="377"/>
      <c r="K31" s="377"/>
      <c r="L31" s="377"/>
      <c r="M31" s="377"/>
      <c r="N31" s="377"/>
      <c r="O31" s="377"/>
      <c r="P31" s="377"/>
      <c r="Q31" s="377"/>
      <c r="R31" s="377"/>
      <c r="S31" s="377"/>
      <c r="T31" s="377"/>
      <c r="U31" s="377"/>
      <c r="V31" s="377"/>
      <c r="W31" s="377"/>
      <c r="X31" s="377"/>
      <c r="Y31" s="377"/>
      <c r="Z31" s="377"/>
      <c r="AA31" s="377"/>
      <c r="AB31" s="377"/>
      <c r="AC31" s="377"/>
      <c r="AD31" s="377"/>
      <c r="AE31" s="377"/>
      <c r="AF31" s="377"/>
      <c r="AG31" s="377"/>
      <c r="AH31" s="377"/>
      <c r="AI31" s="377"/>
      <c r="AJ31" s="377"/>
      <c r="AK31" s="377"/>
      <c r="AL31" s="377"/>
      <c r="AM31" s="377"/>
      <c r="AN31" s="377"/>
      <c r="AO31" s="377"/>
      <c r="AP31" s="377"/>
      <c r="AQ31" s="377"/>
      <c r="AR31" s="377"/>
      <c r="AS31" s="377"/>
      <c r="AT31" s="377"/>
      <c r="AU31" s="377"/>
      <c r="AV31" s="377"/>
      <c r="AW31" s="377"/>
      <c r="AX31" s="377"/>
      <c r="AY31" s="377"/>
      <c r="AZ31" s="377"/>
      <c r="BA31" s="377"/>
      <c r="BB31" s="377"/>
      <c r="BC31" s="377"/>
      <c r="BD31" s="377"/>
      <c r="BE31" s="377"/>
      <c r="BF31" s="377"/>
      <c r="BG31" s="377"/>
      <c r="BH31" s="2"/>
      <c r="BI31" s="192"/>
    </row>
    <row r="32" spans="1:61" ht="9.9" customHeight="1" x14ac:dyDescent="0.3">
      <c r="A32" s="172"/>
      <c r="B32" s="191"/>
      <c r="C32" s="377"/>
      <c r="D32" s="377"/>
      <c r="E32" s="377"/>
      <c r="F32" s="377"/>
      <c r="G32" s="377"/>
      <c r="H32" s="377"/>
      <c r="I32" s="377"/>
      <c r="J32" s="377"/>
      <c r="K32" s="377"/>
      <c r="L32" s="377"/>
      <c r="M32" s="377"/>
      <c r="N32" s="377"/>
      <c r="O32" s="377"/>
      <c r="P32" s="377"/>
      <c r="Q32" s="377"/>
      <c r="R32" s="377"/>
      <c r="S32" s="377"/>
      <c r="T32" s="377"/>
      <c r="U32" s="377"/>
      <c r="V32" s="377"/>
      <c r="W32" s="377"/>
      <c r="X32" s="377"/>
      <c r="Y32" s="377"/>
      <c r="Z32" s="377"/>
      <c r="AA32" s="377"/>
      <c r="AB32" s="377"/>
      <c r="AC32" s="377"/>
      <c r="AD32" s="377"/>
      <c r="AE32" s="377"/>
      <c r="AF32" s="377"/>
      <c r="AG32" s="377"/>
      <c r="AH32" s="377"/>
      <c r="AI32" s="377"/>
      <c r="AJ32" s="377"/>
      <c r="AK32" s="377"/>
      <c r="AL32" s="377"/>
      <c r="AM32" s="377"/>
      <c r="AN32" s="377"/>
      <c r="AO32" s="377"/>
      <c r="AP32" s="377"/>
      <c r="AQ32" s="377"/>
      <c r="AR32" s="377"/>
      <c r="AS32" s="377"/>
      <c r="AT32" s="377"/>
      <c r="AU32" s="377"/>
      <c r="AV32" s="377"/>
      <c r="AW32" s="377"/>
      <c r="AX32" s="377"/>
      <c r="AY32" s="377"/>
      <c r="AZ32" s="377"/>
      <c r="BA32" s="377"/>
      <c r="BB32" s="377"/>
      <c r="BC32" s="377"/>
      <c r="BD32" s="377"/>
      <c r="BE32" s="377"/>
      <c r="BF32" s="377"/>
      <c r="BG32" s="377"/>
      <c r="BH32" s="2"/>
      <c r="BI32" s="192"/>
    </row>
    <row r="33" spans="1:61" ht="9.9" customHeight="1" x14ac:dyDescent="0.3">
      <c r="A33" s="172"/>
      <c r="B33" s="191"/>
      <c r="C33" s="377"/>
      <c r="D33" s="377"/>
      <c r="E33" s="377"/>
      <c r="F33" s="377"/>
      <c r="G33" s="377"/>
      <c r="H33" s="377"/>
      <c r="I33" s="377"/>
      <c r="J33" s="377"/>
      <c r="K33" s="377"/>
      <c r="L33" s="377"/>
      <c r="M33" s="377"/>
      <c r="N33" s="377"/>
      <c r="O33" s="377"/>
      <c r="P33" s="377"/>
      <c r="Q33" s="377"/>
      <c r="R33" s="377"/>
      <c r="S33" s="377"/>
      <c r="T33" s="377"/>
      <c r="U33" s="377"/>
      <c r="V33" s="377"/>
      <c r="W33" s="377"/>
      <c r="X33" s="377"/>
      <c r="Y33" s="377"/>
      <c r="Z33" s="377"/>
      <c r="AA33" s="377"/>
      <c r="AB33" s="377"/>
      <c r="AC33" s="377"/>
      <c r="AD33" s="377"/>
      <c r="AE33" s="377"/>
      <c r="AF33" s="377"/>
      <c r="AG33" s="377"/>
      <c r="AH33" s="377"/>
      <c r="AI33" s="377"/>
      <c r="AJ33" s="377"/>
      <c r="AK33" s="377"/>
      <c r="AL33" s="377"/>
      <c r="AM33" s="377"/>
      <c r="AN33" s="377"/>
      <c r="AO33" s="377"/>
      <c r="AP33" s="377"/>
      <c r="AQ33" s="377"/>
      <c r="AR33" s="377"/>
      <c r="AS33" s="377"/>
      <c r="AT33" s="377"/>
      <c r="AU33" s="377"/>
      <c r="AV33" s="377"/>
      <c r="AW33" s="377"/>
      <c r="AX33" s="377"/>
      <c r="AY33" s="377"/>
      <c r="AZ33" s="377"/>
      <c r="BA33" s="377"/>
      <c r="BB33" s="377"/>
      <c r="BC33" s="377"/>
      <c r="BD33" s="377"/>
      <c r="BE33" s="377"/>
      <c r="BF33" s="377"/>
      <c r="BG33" s="377"/>
      <c r="BH33" s="2"/>
      <c r="BI33" s="192"/>
    </row>
    <row r="34" spans="1:61" ht="9.9" customHeight="1" x14ac:dyDescent="0.3">
      <c r="A34" s="172"/>
      <c r="B34" s="191"/>
      <c r="C34" s="377"/>
      <c r="D34" s="377"/>
      <c r="E34" s="377"/>
      <c r="F34" s="377"/>
      <c r="G34" s="377"/>
      <c r="H34" s="377"/>
      <c r="I34" s="377"/>
      <c r="J34" s="377"/>
      <c r="K34" s="377"/>
      <c r="L34" s="377"/>
      <c r="M34" s="377"/>
      <c r="N34" s="377"/>
      <c r="O34" s="377"/>
      <c r="P34" s="377"/>
      <c r="Q34" s="377"/>
      <c r="R34" s="377"/>
      <c r="S34" s="377"/>
      <c r="T34" s="377"/>
      <c r="U34" s="377"/>
      <c r="V34" s="377"/>
      <c r="W34" s="377"/>
      <c r="X34" s="377"/>
      <c r="Y34" s="377"/>
      <c r="Z34" s="377"/>
      <c r="AA34" s="377"/>
      <c r="AB34" s="377"/>
      <c r="AC34" s="377"/>
      <c r="AD34" s="377"/>
      <c r="AE34" s="377"/>
      <c r="AF34" s="377"/>
      <c r="AG34" s="377"/>
      <c r="AH34" s="377"/>
      <c r="AI34" s="377"/>
      <c r="AJ34" s="377"/>
      <c r="AK34" s="377"/>
      <c r="AL34" s="377"/>
      <c r="AM34" s="377"/>
      <c r="AN34" s="377"/>
      <c r="AO34" s="377"/>
      <c r="AP34" s="377"/>
      <c r="AQ34" s="377"/>
      <c r="AR34" s="377"/>
      <c r="AS34" s="377"/>
      <c r="AT34" s="377"/>
      <c r="AU34" s="377"/>
      <c r="AV34" s="377"/>
      <c r="AW34" s="377"/>
      <c r="AX34" s="377"/>
      <c r="AY34" s="377"/>
      <c r="AZ34" s="377"/>
      <c r="BA34" s="377"/>
      <c r="BB34" s="377"/>
      <c r="BC34" s="377"/>
      <c r="BD34" s="377"/>
      <c r="BE34" s="377"/>
      <c r="BF34" s="377"/>
      <c r="BG34" s="377"/>
      <c r="BH34" s="2"/>
      <c r="BI34" s="192"/>
    </row>
    <row r="35" spans="1:61" ht="9.9" customHeight="1" x14ac:dyDescent="0.3">
      <c r="A35" s="172"/>
      <c r="B35" s="191"/>
      <c r="C35" s="377"/>
      <c r="D35" s="377"/>
      <c r="E35" s="377"/>
      <c r="F35" s="377"/>
      <c r="G35" s="377"/>
      <c r="H35" s="377"/>
      <c r="I35" s="377"/>
      <c r="J35" s="377"/>
      <c r="K35" s="377"/>
      <c r="L35" s="377"/>
      <c r="M35" s="377"/>
      <c r="N35" s="377"/>
      <c r="O35" s="377"/>
      <c r="P35" s="377"/>
      <c r="Q35" s="377"/>
      <c r="R35" s="377"/>
      <c r="S35" s="377"/>
      <c r="T35" s="377"/>
      <c r="U35" s="377"/>
      <c r="V35" s="377"/>
      <c r="W35" s="377"/>
      <c r="X35" s="377"/>
      <c r="Y35" s="377"/>
      <c r="Z35" s="377"/>
      <c r="AA35" s="377"/>
      <c r="AB35" s="377"/>
      <c r="AC35" s="377"/>
      <c r="AD35" s="377"/>
      <c r="AE35" s="377"/>
      <c r="AF35" s="377"/>
      <c r="AG35" s="377"/>
      <c r="AH35" s="377"/>
      <c r="AI35" s="377"/>
      <c r="AJ35" s="377"/>
      <c r="AK35" s="377"/>
      <c r="AL35" s="377"/>
      <c r="AM35" s="377"/>
      <c r="AN35" s="377"/>
      <c r="AO35" s="377"/>
      <c r="AP35" s="377"/>
      <c r="AQ35" s="377"/>
      <c r="AR35" s="377"/>
      <c r="AS35" s="377"/>
      <c r="AT35" s="377"/>
      <c r="AU35" s="377"/>
      <c r="AV35" s="377"/>
      <c r="AW35" s="377"/>
      <c r="AX35" s="377"/>
      <c r="AY35" s="377"/>
      <c r="AZ35" s="377"/>
      <c r="BA35" s="377"/>
      <c r="BB35" s="377"/>
      <c r="BC35" s="377"/>
      <c r="BD35" s="377"/>
      <c r="BE35" s="377"/>
      <c r="BF35" s="377"/>
      <c r="BG35" s="377"/>
      <c r="BH35" s="2"/>
      <c r="BI35" s="192"/>
    </row>
    <row r="36" spans="1:61" ht="9.9" customHeight="1" x14ac:dyDescent="0.3">
      <c r="A36" s="172"/>
      <c r="B36" s="191"/>
      <c r="C36" s="377"/>
      <c r="D36" s="377"/>
      <c r="E36" s="377"/>
      <c r="F36" s="377"/>
      <c r="G36" s="377"/>
      <c r="H36" s="377"/>
      <c r="I36" s="377"/>
      <c r="J36" s="377"/>
      <c r="K36" s="377"/>
      <c r="L36" s="377"/>
      <c r="M36" s="377"/>
      <c r="N36" s="377"/>
      <c r="O36" s="377"/>
      <c r="P36" s="377"/>
      <c r="Q36" s="377"/>
      <c r="R36" s="377"/>
      <c r="S36" s="377"/>
      <c r="T36" s="377"/>
      <c r="U36" s="377"/>
      <c r="V36" s="377"/>
      <c r="W36" s="377"/>
      <c r="X36" s="377"/>
      <c r="Y36" s="377"/>
      <c r="Z36" s="377"/>
      <c r="AA36" s="377"/>
      <c r="AB36" s="377"/>
      <c r="AC36" s="377"/>
      <c r="AD36" s="377"/>
      <c r="AE36" s="377"/>
      <c r="AF36" s="377"/>
      <c r="AG36" s="377"/>
      <c r="AH36" s="377"/>
      <c r="AI36" s="377"/>
      <c r="AJ36" s="377"/>
      <c r="AK36" s="377"/>
      <c r="AL36" s="377"/>
      <c r="AM36" s="377"/>
      <c r="AN36" s="377"/>
      <c r="AO36" s="377"/>
      <c r="AP36" s="377"/>
      <c r="AQ36" s="377"/>
      <c r="AR36" s="377"/>
      <c r="AS36" s="377"/>
      <c r="AT36" s="377"/>
      <c r="AU36" s="377"/>
      <c r="AV36" s="377"/>
      <c r="AW36" s="377"/>
      <c r="AX36" s="377"/>
      <c r="AY36" s="377"/>
      <c r="AZ36" s="377"/>
      <c r="BA36" s="377"/>
      <c r="BB36" s="377"/>
      <c r="BC36" s="377"/>
      <c r="BD36" s="377"/>
      <c r="BE36" s="377"/>
      <c r="BF36" s="377"/>
      <c r="BG36" s="377"/>
      <c r="BH36" s="2"/>
      <c r="BI36" s="192"/>
    </row>
    <row r="37" spans="1:61" ht="9.9" customHeight="1" x14ac:dyDescent="0.3">
      <c r="A37" s="172"/>
      <c r="B37" s="191"/>
      <c r="C37" s="377"/>
      <c r="D37" s="377"/>
      <c r="E37" s="377"/>
      <c r="F37" s="377"/>
      <c r="G37" s="377"/>
      <c r="H37" s="377"/>
      <c r="I37" s="377"/>
      <c r="J37" s="377"/>
      <c r="K37" s="377"/>
      <c r="L37" s="377"/>
      <c r="M37" s="377"/>
      <c r="N37" s="377"/>
      <c r="O37" s="377"/>
      <c r="P37" s="377"/>
      <c r="Q37" s="377"/>
      <c r="R37" s="377"/>
      <c r="S37" s="377"/>
      <c r="T37" s="377"/>
      <c r="U37" s="377"/>
      <c r="V37" s="377"/>
      <c r="W37" s="377"/>
      <c r="X37" s="377"/>
      <c r="Y37" s="377"/>
      <c r="Z37" s="377"/>
      <c r="AA37" s="377"/>
      <c r="AB37" s="377"/>
      <c r="AC37" s="377"/>
      <c r="AD37" s="377"/>
      <c r="AE37" s="377"/>
      <c r="AF37" s="377"/>
      <c r="AG37" s="377"/>
      <c r="AH37" s="377"/>
      <c r="AI37" s="377"/>
      <c r="AJ37" s="377"/>
      <c r="AK37" s="377"/>
      <c r="AL37" s="377"/>
      <c r="AM37" s="377"/>
      <c r="AN37" s="377"/>
      <c r="AO37" s="377"/>
      <c r="AP37" s="377"/>
      <c r="AQ37" s="377"/>
      <c r="AR37" s="377"/>
      <c r="AS37" s="377"/>
      <c r="AT37" s="377"/>
      <c r="AU37" s="377"/>
      <c r="AV37" s="377"/>
      <c r="AW37" s="377"/>
      <c r="AX37" s="377"/>
      <c r="AY37" s="377"/>
      <c r="AZ37" s="377"/>
      <c r="BA37" s="377"/>
      <c r="BB37" s="377"/>
      <c r="BC37" s="377"/>
      <c r="BD37" s="377"/>
      <c r="BE37" s="377"/>
      <c r="BF37" s="377"/>
      <c r="BG37" s="377"/>
      <c r="BH37" s="2"/>
      <c r="BI37" s="192"/>
    </row>
    <row r="38" spans="1:61" ht="9.9" customHeight="1" x14ac:dyDescent="0.3">
      <c r="A38" s="172"/>
      <c r="B38" s="191"/>
      <c r="C38" s="377"/>
      <c r="D38" s="377"/>
      <c r="E38" s="377"/>
      <c r="F38" s="377"/>
      <c r="G38" s="377"/>
      <c r="H38" s="377"/>
      <c r="I38" s="377"/>
      <c r="J38" s="377"/>
      <c r="K38" s="377"/>
      <c r="L38" s="377"/>
      <c r="M38" s="377"/>
      <c r="N38" s="377"/>
      <c r="O38" s="377"/>
      <c r="P38" s="377"/>
      <c r="Q38" s="377"/>
      <c r="R38" s="377"/>
      <c r="S38" s="377"/>
      <c r="T38" s="377"/>
      <c r="U38" s="377"/>
      <c r="V38" s="377"/>
      <c r="W38" s="377"/>
      <c r="X38" s="377"/>
      <c r="Y38" s="377"/>
      <c r="Z38" s="377"/>
      <c r="AA38" s="377"/>
      <c r="AB38" s="377"/>
      <c r="AC38" s="377"/>
      <c r="AD38" s="377"/>
      <c r="AE38" s="377"/>
      <c r="AF38" s="377"/>
      <c r="AG38" s="377"/>
      <c r="AH38" s="377"/>
      <c r="AI38" s="377"/>
      <c r="AJ38" s="377"/>
      <c r="AK38" s="377"/>
      <c r="AL38" s="377"/>
      <c r="AM38" s="377"/>
      <c r="AN38" s="377"/>
      <c r="AO38" s="377"/>
      <c r="AP38" s="377"/>
      <c r="AQ38" s="377"/>
      <c r="AR38" s="377"/>
      <c r="AS38" s="377"/>
      <c r="AT38" s="377"/>
      <c r="AU38" s="377"/>
      <c r="AV38" s="377"/>
      <c r="AW38" s="377"/>
      <c r="AX38" s="377"/>
      <c r="AY38" s="377"/>
      <c r="AZ38" s="377"/>
      <c r="BA38" s="377"/>
      <c r="BB38" s="377"/>
      <c r="BC38" s="377"/>
      <c r="BD38" s="377"/>
      <c r="BE38" s="377"/>
      <c r="BF38" s="377"/>
      <c r="BG38" s="377"/>
      <c r="BH38" s="2"/>
      <c r="BI38" s="192"/>
    </row>
    <row r="39" spans="1:61" ht="9.9" customHeight="1" x14ac:dyDescent="0.3">
      <c r="A39" s="172"/>
      <c r="B39" s="191"/>
      <c r="C39" s="377"/>
      <c r="D39" s="377"/>
      <c r="E39" s="377"/>
      <c r="F39" s="377"/>
      <c r="G39" s="377"/>
      <c r="H39" s="377"/>
      <c r="I39" s="377"/>
      <c r="J39" s="377"/>
      <c r="K39" s="377"/>
      <c r="L39" s="377"/>
      <c r="M39" s="377"/>
      <c r="N39" s="377"/>
      <c r="O39" s="377"/>
      <c r="P39" s="377"/>
      <c r="Q39" s="377"/>
      <c r="R39" s="377"/>
      <c r="S39" s="377"/>
      <c r="T39" s="377"/>
      <c r="U39" s="377"/>
      <c r="V39" s="377"/>
      <c r="W39" s="377"/>
      <c r="X39" s="377"/>
      <c r="Y39" s="377"/>
      <c r="Z39" s="377"/>
      <c r="AA39" s="377"/>
      <c r="AB39" s="377"/>
      <c r="AC39" s="377"/>
      <c r="AD39" s="377"/>
      <c r="AE39" s="377"/>
      <c r="AF39" s="377"/>
      <c r="AG39" s="377"/>
      <c r="AH39" s="377"/>
      <c r="AI39" s="377"/>
      <c r="AJ39" s="377"/>
      <c r="AK39" s="377"/>
      <c r="AL39" s="377"/>
      <c r="AM39" s="377"/>
      <c r="AN39" s="377"/>
      <c r="AO39" s="377"/>
      <c r="AP39" s="377"/>
      <c r="AQ39" s="377"/>
      <c r="AR39" s="377"/>
      <c r="AS39" s="377"/>
      <c r="AT39" s="377"/>
      <c r="AU39" s="377"/>
      <c r="AV39" s="377"/>
      <c r="AW39" s="377"/>
      <c r="AX39" s="377"/>
      <c r="AY39" s="377"/>
      <c r="AZ39" s="377"/>
      <c r="BA39" s="377"/>
      <c r="BB39" s="377"/>
      <c r="BC39" s="377"/>
      <c r="BD39" s="377"/>
      <c r="BE39" s="377"/>
      <c r="BF39" s="377"/>
      <c r="BG39" s="377"/>
      <c r="BH39" s="2"/>
      <c r="BI39" s="192"/>
    </row>
    <row r="40" spans="1:61" ht="9.9" customHeight="1" x14ac:dyDescent="0.3">
      <c r="A40" s="172"/>
      <c r="B40" s="191"/>
      <c r="C40" s="377"/>
      <c r="D40" s="377"/>
      <c r="E40" s="377"/>
      <c r="F40" s="377"/>
      <c r="G40" s="377"/>
      <c r="H40" s="377"/>
      <c r="I40" s="377"/>
      <c r="J40" s="377"/>
      <c r="K40" s="377"/>
      <c r="L40" s="377"/>
      <c r="M40" s="377"/>
      <c r="N40" s="377"/>
      <c r="O40" s="377"/>
      <c r="P40" s="377"/>
      <c r="Q40" s="377"/>
      <c r="R40" s="377"/>
      <c r="S40" s="377"/>
      <c r="T40" s="377"/>
      <c r="U40" s="377"/>
      <c r="V40" s="377"/>
      <c r="W40" s="377"/>
      <c r="X40" s="377"/>
      <c r="Y40" s="377"/>
      <c r="Z40" s="377"/>
      <c r="AA40" s="377"/>
      <c r="AB40" s="377"/>
      <c r="AC40" s="377"/>
      <c r="AD40" s="377"/>
      <c r="AE40" s="377"/>
      <c r="AF40" s="377"/>
      <c r="AG40" s="377"/>
      <c r="AH40" s="377"/>
      <c r="AI40" s="377"/>
      <c r="AJ40" s="377"/>
      <c r="AK40" s="377"/>
      <c r="AL40" s="377"/>
      <c r="AM40" s="377"/>
      <c r="AN40" s="377"/>
      <c r="AO40" s="377"/>
      <c r="AP40" s="377"/>
      <c r="AQ40" s="377"/>
      <c r="AR40" s="377"/>
      <c r="AS40" s="377"/>
      <c r="AT40" s="377"/>
      <c r="AU40" s="377"/>
      <c r="AV40" s="377"/>
      <c r="AW40" s="377"/>
      <c r="AX40" s="377"/>
      <c r="AY40" s="377"/>
      <c r="AZ40" s="377"/>
      <c r="BA40" s="377"/>
      <c r="BB40" s="377"/>
      <c r="BC40" s="377"/>
      <c r="BD40" s="377"/>
      <c r="BE40" s="377"/>
      <c r="BF40" s="377"/>
      <c r="BG40" s="377"/>
      <c r="BH40" s="2"/>
      <c r="BI40" s="192"/>
    </row>
    <row r="41" spans="1:61" ht="9.9" customHeight="1" x14ac:dyDescent="0.3">
      <c r="A41" s="172"/>
      <c r="B41" s="191"/>
      <c r="C41" s="377"/>
      <c r="D41" s="377"/>
      <c r="E41" s="377"/>
      <c r="F41" s="377"/>
      <c r="G41" s="377"/>
      <c r="H41" s="377"/>
      <c r="I41" s="377"/>
      <c r="J41" s="377"/>
      <c r="K41" s="377"/>
      <c r="L41" s="377"/>
      <c r="M41" s="377"/>
      <c r="N41" s="377"/>
      <c r="O41" s="377"/>
      <c r="P41" s="377"/>
      <c r="Q41" s="377"/>
      <c r="R41" s="377"/>
      <c r="S41" s="377"/>
      <c r="T41" s="377"/>
      <c r="U41" s="377"/>
      <c r="V41" s="377"/>
      <c r="W41" s="377"/>
      <c r="X41" s="377"/>
      <c r="Y41" s="377"/>
      <c r="Z41" s="377"/>
      <c r="AA41" s="377"/>
      <c r="AB41" s="377"/>
      <c r="AC41" s="377"/>
      <c r="AD41" s="377"/>
      <c r="AE41" s="377"/>
      <c r="AF41" s="377"/>
      <c r="AG41" s="377"/>
      <c r="AH41" s="377"/>
      <c r="AI41" s="377"/>
      <c r="AJ41" s="377"/>
      <c r="AK41" s="377"/>
      <c r="AL41" s="377"/>
      <c r="AM41" s="377"/>
      <c r="AN41" s="377"/>
      <c r="AO41" s="377"/>
      <c r="AP41" s="377"/>
      <c r="AQ41" s="377"/>
      <c r="AR41" s="377"/>
      <c r="AS41" s="377"/>
      <c r="AT41" s="377"/>
      <c r="AU41" s="377"/>
      <c r="AV41" s="377"/>
      <c r="AW41" s="377"/>
      <c r="AX41" s="377"/>
      <c r="AY41" s="377"/>
      <c r="AZ41" s="377"/>
      <c r="BA41" s="377"/>
      <c r="BB41" s="377"/>
      <c r="BC41" s="377"/>
      <c r="BD41" s="377"/>
      <c r="BE41" s="377"/>
      <c r="BF41" s="377"/>
      <c r="BG41" s="377"/>
      <c r="BH41" s="2"/>
      <c r="BI41" s="192"/>
    </row>
    <row r="42" spans="1:61" ht="9.9" customHeight="1" x14ac:dyDescent="0.3">
      <c r="A42" s="172"/>
      <c r="B42" s="191"/>
      <c r="C42" s="377"/>
      <c r="D42" s="377"/>
      <c r="E42" s="377"/>
      <c r="F42" s="377"/>
      <c r="G42" s="377"/>
      <c r="H42" s="377"/>
      <c r="I42" s="377"/>
      <c r="J42" s="377"/>
      <c r="K42" s="377"/>
      <c r="L42" s="377"/>
      <c r="M42" s="377"/>
      <c r="N42" s="377"/>
      <c r="O42" s="377"/>
      <c r="P42" s="377"/>
      <c r="Q42" s="377"/>
      <c r="R42" s="377"/>
      <c r="S42" s="377"/>
      <c r="T42" s="377"/>
      <c r="U42" s="377"/>
      <c r="V42" s="377"/>
      <c r="W42" s="377"/>
      <c r="X42" s="377"/>
      <c r="Y42" s="377"/>
      <c r="Z42" s="377"/>
      <c r="AA42" s="377"/>
      <c r="AB42" s="377"/>
      <c r="AC42" s="377"/>
      <c r="AD42" s="377"/>
      <c r="AE42" s="377"/>
      <c r="AF42" s="377"/>
      <c r="AG42" s="377"/>
      <c r="AH42" s="377"/>
      <c r="AI42" s="377"/>
      <c r="AJ42" s="377"/>
      <c r="AK42" s="377"/>
      <c r="AL42" s="377"/>
      <c r="AM42" s="377"/>
      <c r="AN42" s="377"/>
      <c r="AO42" s="377"/>
      <c r="AP42" s="377"/>
      <c r="AQ42" s="377"/>
      <c r="AR42" s="377"/>
      <c r="AS42" s="377"/>
      <c r="AT42" s="377"/>
      <c r="AU42" s="377"/>
      <c r="AV42" s="377"/>
      <c r="AW42" s="377"/>
      <c r="AX42" s="377"/>
      <c r="AY42" s="377"/>
      <c r="AZ42" s="377"/>
      <c r="BA42" s="377"/>
      <c r="BB42" s="377"/>
      <c r="BC42" s="377"/>
      <c r="BD42" s="377"/>
      <c r="BE42" s="377"/>
      <c r="BF42" s="377"/>
      <c r="BG42" s="377"/>
      <c r="BH42" s="2"/>
      <c r="BI42" s="192"/>
    </row>
    <row r="43" spans="1:61" ht="9.9" customHeight="1" x14ac:dyDescent="0.3">
      <c r="A43" s="172"/>
      <c r="B43" s="191"/>
      <c r="C43" s="377"/>
      <c r="D43" s="377"/>
      <c r="E43" s="377"/>
      <c r="F43" s="377"/>
      <c r="G43" s="377"/>
      <c r="H43" s="377"/>
      <c r="I43" s="377"/>
      <c r="J43" s="377"/>
      <c r="K43" s="377"/>
      <c r="L43" s="377"/>
      <c r="M43" s="377"/>
      <c r="N43" s="377"/>
      <c r="O43" s="377"/>
      <c r="P43" s="377"/>
      <c r="Q43" s="377"/>
      <c r="R43" s="377"/>
      <c r="S43" s="377"/>
      <c r="T43" s="377"/>
      <c r="U43" s="377"/>
      <c r="V43" s="377"/>
      <c r="W43" s="377"/>
      <c r="X43" s="377"/>
      <c r="Y43" s="377"/>
      <c r="Z43" s="377"/>
      <c r="AA43" s="377"/>
      <c r="AB43" s="377"/>
      <c r="AC43" s="377"/>
      <c r="AD43" s="377"/>
      <c r="AE43" s="377"/>
      <c r="AF43" s="377"/>
      <c r="AG43" s="377"/>
      <c r="AH43" s="377"/>
      <c r="AI43" s="377"/>
      <c r="AJ43" s="377"/>
      <c r="AK43" s="377"/>
      <c r="AL43" s="377"/>
      <c r="AM43" s="377"/>
      <c r="AN43" s="377"/>
      <c r="AO43" s="377"/>
      <c r="AP43" s="377"/>
      <c r="AQ43" s="377"/>
      <c r="AR43" s="377"/>
      <c r="AS43" s="377"/>
      <c r="AT43" s="377"/>
      <c r="AU43" s="377"/>
      <c r="AV43" s="377"/>
      <c r="AW43" s="377"/>
      <c r="AX43" s="377"/>
      <c r="AY43" s="377"/>
      <c r="AZ43" s="377"/>
      <c r="BA43" s="377"/>
      <c r="BB43" s="377"/>
      <c r="BC43" s="377"/>
      <c r="BD43" s="377"/>
      <c r="BE43" s="377"/>
      <c r="BF43" s="377"/>
      <c r="BG43" s="377"/>
      <c r="BH43" s="2"/>
      <c r="BI43" s="192"/>
    </row>
    <row r="44" spans="1:61" ht="9.9" customHeight="1" x14ac:dyDescent="0.3">
      <c r="A44" s="172"/>
      <c r="B44" s="191"/>
      <c r="C44" s="377"/>
      <c r="D44" s="377"/>
      <c r="E44" s="377"/>
      <c r="F44" s="377"/>
      <c r="G44" s="377"/>
      <c r="H44" s="377"/>
      <c r="I44" s="377"/>
      <c r="J44" s="377"/>
      <c r="K44" s="377"/>
      <c r="L44" s="377"/>
      <c r="M44" s="377"/>
      <c r="N44" s="377"/>
      <c r="O44" s="377"/>
      <c r="P44" s="377"/>
      <c r="Q44" s="377"/>
      <c r="R44" s="377"/>
      <c r="S44" s="377"/>
      <c r="T44" s="377"/>
      <c r="U44" s="377"/>
      <c r="V44" s="377"/>
      <c r="W44" s="377"/>
      <c r="X44" s="377"/>
      <c r="Y44" s="377"/>
      <c r="Z44" s="377"/>
      <c r="AA44" s="377"/>
      <c r="AB44" s="377"/>
      <c r="AC44" s="377"/>
      <c r="AD44" s="377"/>
      <c r="AE44" s="377"/>
      <c r="AF44" s="377"/>
      <c r="AG44" s="377"/>
      <c r="AH44" s="377"/>
      <c r="AI44" s="377"/>
      <c r="AJ44" s="377"/>
      <c r="AK44" s="377"/>
      <c r="AL44" s="377"/>
      <c r="AM44" s="377"/>
      <c r="AN44" s="377"/>
      <c r="AO44" s="377"/>
      <c r="AP44" s="377"/>
      <c r="AQ44" s="377"/>
      <c r="AR44" s="377"/>
      <c r="AS44" s="377"/>
      <c r="AT44" s="377"/>
      <c r="AU44" s="377"/>
      <c r="AV44" s="377"/>
      <c r="AW44" s="377"/>
      <c r="AX44" s="377"/>
      <c r="AY44" s="377"/>
      <c r="AZ44" s="377"/>
      <c r="BA44" s="377"/>
      <c r="BB44" s="377"/>
      <c r="BC44" s="377"/>
      <c r="BD44" s="377"/>
      <c r="BE44" s="377"/>
      <c r="BF44" s="377"/>
      <c r="BG44" s="377"/>
      <c r="BH44" s="2"/>
      <c r="BI44" s="192"/>
    </row>
    <row r="45" spans="1:61" ht="9.9" customHeight="1" x14ac:dyDescent="0.3">
      <c r="A45" s="172"/>
      <c r="B45" s="191"/>
      <c r="C45" s="377"/>
      <c r="D45" s="377"/>
      <c r="E45" s="377"/>
      <c r="F45" s="377"/>
      <c r="G45" s="377"/>
      <c r="H45" s="377"/>
      <c r="I45" s="377"/>
      <c r="J45" s="377"/>
      <c r="K45" s="377"/>
      <c r="L45" s="377"/>
      <c r="M45" s="377"/>
      <c r="N45" s="377"/>
      <c r="O45" s="377"/>
      <c r="P45" s="377"/>
      <c r="Q45" s="377"/>
      <c r="R45" s="377"/>
      <c r="S45" s="377"/>
      <c r="T45" s="377"/>
      <c r="U45" s="377"/>
      <c r="V45" s="377"/>
      <c r="W45" s="377"/>
      <c r="X45" s="377"/>
      <c r="Y45" s="377"/>
      <c r="Z45" s="377"/>
      <c r="AA45" s="377"/>
      <c r="AB45" s="377"/>
      <c r="AC45" s="377"/>
      <c r="AD45" s="377"/>
      <c r="AE45" s="377"/>
      <c r="AF45" s="377"/>
      <c r="AG45" s="377"/>
      <c r="AH45" s="377"/>
      <c r="AI45" s="377"/>
      <c r="AJ45" s="377"/>
      <c r="AK45" s="377"/>
      <c r="AL45" s="377"/>
      <c r="AM45" s="377"/>
      <c r="AN45" s="377"/>
      <c r="AO45" s="377"/>
      <c r="AP45" s="377"/>
      <c r="AQ45" s="377"/>
      <c r="AR45" s="377"/>
      <c r="AS45" s="377"/>
      <c r="AT45" s="377"/>
      <c r="AU45" s="377"/>
      <c r="AV45" s="377"/>
      <c r="AW45" s="377"/>
      <c r="AX45" s="377"/>
      <c r="AY45" s="377"/>
      <c r="AZ45" s="377"/>
      <c r="BA45" s="377"/>
      <c r="BB45" s="377"/>
      <c r="BC45" s="377"/>
      <c r="BD45" s="377"/>
      <c r="BE45" s="377"/>
      <c r="BF45" s="377"/>
      <c r="BG45" s="377"/>
      <c r="BH45" s="2"/>
      <c r="BI45" s="192"/>
    </row>
    <row r="46" spans="1:61" ht="9.9" customHeight="1" x14ac:dyDescent="0.3">
      <c r="A46" s="172"/>
      <c r="B46" s="191"/>
      <c r="C46" s="377"/>
      <c r="D46" s="377"/>
      <c r="E46" s="377"/>
      <c r="F46" s="377"/>
      <c r="G46" s="377"/>
      <c r="H46" s="377"/>
      <c r="I46" s="377"/>
      <c r="J46" s="377"/>
      <c r="K46" s="377"/>
      <c r="L46" s="377"/>
      <c r="M46" s="377"/>
      <c r="N46" s="377"/>
      <c r="O46" s="377"/>
      <c r="P46" s="377"/>
      <c r="Q46" s="377"/>
      <c r="R46" s="377"/>
      <c r="S46" s="377"/>
      <c r="T46" s="377"/>
      <c r="U46" s="377"/>
      <c r="V46" s="377"/>
      <c r="W46" s="377"/>
      <c r="X46" s="377"/>
      <c r="Y46" s="377"/>
      <c r="Z46" s="377"/>
      <c r="AA46" s="377"/>
      <c r="AB46" s="377"/>
      <c r="AC46" s="377"/>
      <c r="AD46" s="377"/>
      <c r="AE46" s="377"/>
      <c r="AF46" s="377"/>
      <c r="AG46" s="377"/>
      <c r="AH46" s="377"/>
      <c r="AI46" s="377"/>
      <c r="AJ46" s="377"/>
      <c r="AK46" s="377"/>
      <c r="AL46" s="377"/>
      <c r="AM46" s="377"/>
      <c r="AN46" s="377"/>
      <c r="AO46" s="377"/>
      <c r="AP46" s="377"/>
      <c r="AQ46" s="377"/>
      <c r="AR46" s="377"/>
      <c r="AS46" s="377"/>
      <c r="AT46" s="377"/>
      <c r="AU46" s="377"/>
      <c r="AV46" s="377"/>
      <c r="AW46" s="377"/>
      <c r="AX46" s="377"/>
      <c r="AY46" s="377"/>
      <c r="AZ46" s="377"/>
      <c r="BA46" s="377"/>
      <c r="BB46" s="377"/>
      <c r="BC46" s="377"/>
      <c r="BD46" s="377"/>
      <c r="BE46" s="377"/>
      <c r="BF46" s="377"/>
      <c r="BG46" s="377"/>
      <c r="BH46" s="2"/>
      <c r="BI46" s="192"/>
    </row>
    <row r="47" spans="1:61" ht="9.9" customHeight="1" x14ac:dyDescent="0.3">
      <c r="A47" s="172"/>
      <c r="B47" s="191"/>
      <c r="C47" s="377"/>
      <c r="D47" s="377"/>
      <c r="E47" s="377"/>
      <c r="F47" s="377"/>
      <c r="G47" s="377"/>
      <c r="H47" s="377"/>
      <c r="I47" s="377"/>
      <c r="J47" s="377"/>
      <c r="K47" s="377"/>
      <c r="L47" s="377"/>
      <c r="M47" s="377"/>
      <c r="N47" s="377"/>
      <c r="O47" s="377"/>
      <c r="P47" s="377"/>
      <c r="Q47" s="377"/>
      <c r="R47" s="377"/>
      <c r="S47" s="377"/>
      <c r="T47" s="377"/>
      <c r="U47" s="377"/>
      <c r="V47" s="377"/>
      <c r="W47" s="377"/>
      <c r="X47" s="377"/>
      <c r="Y47" s="377"/>
      <c r="Z47" s="377"/>
      <c r="AA47" s="377"/>
      <c r="AB47" s="377"/>
      <c r="AC47" s="377"/>
      <c r="AD47" s="377"/>
      <c r="AE47" s="377"/>
      <c r="AF47" s="377"/>
      <c r="AG47" s="377"/>
      <c r="AH47" s="377"/>
      <c r="AI47" s="377"/>
      <c r="AJ47" s="377"/>
      <c r="AK47" s="377"/>
      <c r="AL47" s="377"/>
      <c r="AM47" s="377"/>
      <c r="AN47" s="377"/>
      <c r="AO47" s="377"/>
      <c r="AP47" s="377"/>
      <c r="AQ47" s="377"/>
      <c r="AR47" s="377"/>
      <c r="AS47" s="377"/>
      <c r="AT47" s="377"/>
      <c r="AU47" s="377"/>
      <c r="AV47" s="377"/>
      <c r="AW47" s="377"/>
      <c r="AX47" s="377"/>
      <c r="AY47" s="377"/>
      <c r="AZ47" s="377"/>
      <c r="BA47" s="377"/>
      <c r="BB47" s="377"/>
      <c r="BC47" s="377"/>
      <c r="BD47" s="377"/>
      <c r="BE47" s="377"/>
      <c r="BF47" s="377"/>
      <c r="BG47" s="377"/>
      <c r="BH47" s="2"/>
      <c r="BI47" s="192"/>
    </row>
    <row r="48" spans="1:61" ht="9.9" customHeight="1" x14ac:dyDescent="0.3">
      <c r="A48" s="172"/>
      <c r="B48" s="191"/>
      <c r="BG48" s="2"/>
      <c r="BH48" s="2"/>
      <c r="BI48" s="192"/>
    </row>
    <row r="49" spans="1:61" ht="9.9" customHeight="1" x14ac:dyDescent="0.3">
      <c r="A49" s="172"/>
      <c r="B49" s="191"/>
      <c r="C49" s="368" t="s">
        <v>446</v>
      </c>
      <c r="D49" s="368"/>
      <c r="E49" s="368"/>
      <c r="F49" s="368"/>
      <c r="G49" s="368"/>
      <c r="H49" s="368"/>
      <c r="I49" s="368"/>
      <c r="J49" s="368"/>
      <c r="K49" s="368"/>
      <c r="L49" s="368"/>
      <c r="M49" s="368"/>
      <c r="N49" s="368"/>
      <c r="O49" s="368"/>
      <c r="P49" s="368"/>
      <c r="Q49" s="368"/>
      <c r="R49" s="368"/>
      <c r="S49" s="368"/>
      <c r="T49" s="368"/>
      <c r="U49" s="368"/>
      <c r="V49" s="368"/>
      <c r="W49" s="368"/>
      <c r="X49" s="368"/>
      <c r="Y49" s="368"/>
      <c r="Z49" s="368"/>
      <c r="AA49" s="368"/>
      <c r="AB49" s="368"/>
      <c r="AC49" s="368"/>
      <c r="AD49" s="368"/>
      <c r="AE49" s="368"/>
      <c r="AF49" s="368"/>
      <c r="AG49" s="368"/>
      <c r="AH49" s="368"/>
      <c r="AI49" s="368"/>
      <c r="AJ49" s="368"/>
      <c r="AK49" s="368"/>
      <c r="AL49" s="368"/>
      <c r="AM49" s="368"/>
      <c r="AN49" s="368"/>
      <c r="AO49" s="368"/>
      <c r="AP49" s="368"/>
      <c r="AQ49" s="368"/>
      <c r="AR49" s="368"/>
      <c r="AS49" s="368"/>
      <c r="AT49" s="368"/>
      <c r="AU49" s="368"/>
      <c r="AV49" s="368"/>
      <c r="AW49" s="368"/>
      <c r="AX49" s="368"/>
      <c r="AY49" s="368"/>
      <c r="AZ49" s="368"/>
      <c r="BA49" s="368"/>
      <c r="BB49" s="368"/>
      <c r="BC49" s="368"/>
      <c r="BD49" s="368"/>
      <c r="BE49" s="368"/>
      <c r="BF49" s="368"/>
      <c r="BG49" s="2"/>
      <c r="BH49" s="2"/>
      <c r="BI49" s="192"/>
    </row>
    <row r="50" spans="1:61" ht="9.9" customHeight="1" x14ac:dyDescent="0.3">
      <c r="A50" s="172"/>
      <c r="B50" s="191"/>
      <c r="C50" s="368"/>
      <c r="D50" s="368"/>
      <c r="E50" s="368"/>
      <c r="F50" s="368"/>
      <c r="G50" s="368"/>
      <c r="H50" s="368"/>
      <c r="I50" s="368"/>
      <c r="J50" s="368"/>
      <c r="K50" s="368"/>
      <c r="L50" s="368"/>
      <c r="M50" s="368"/>
      <c r="N50" s="368"/>
      <c r="O50" s="368"/>
      <c r="P50" s="368"/>
      <c r="Q50" s="368"/>
      <c r="R50" s="368"/>
      <c r="S50" s="368"/>
      <c r="T50" s="368"/>
      <c r="U50" s="368"/>
      <c r="V50" s="368"/>
      <c r="W50" s="368"/>
      <c r="X50" s="368"/>
      <c r="Y50" s="368"/>
      <c r="Z50" s="368"/>
      <c r="AA50" s="368"/>
      <c r="AB50" s="368"/>
      <c r="AC50" s="368"/>
      <c r="AD50" s="368"/>
      <c r="AE50" s="368"/>
      <c r="AF50" s="368"/>
      <c r="AG50" s="368"/>
      <c r="AH50" s="368"/>
      <c r="AI50" s="368"/>
      <c r="AJ50" s="368"/>
      <c r="AK50" s="368"/>
      <c r="AL50" s="368"/>
      <c r="AM50" s="368"/>
      <c r="AN50" s="368"/>
      <c r="AO50" s="368"/>
      <c r="AP50" s="368"/>
      <c r="AQ50" s="368"/>
      <c r="AR50" s="368"/>
      <c r="AS50" s="368"/>
      <c r="AT50" s="368"/>
      <c r="AU50" s="368"/>
      <c r="AV50" s="368"/>
      <c r="AW50" s="368"/>
      <c r="AX50" s="368"/>
      <c r="AY50" s="368"/>
      <c r="AZ50" s="368"/>
      <c r="BA50" s="368"/>
      <c r="BB50" s="368"/>
      <c r="BC50" s="368"/>
      <c r="BD50" s="368"/>
      <c r="BE50" s="368"/>
      <c r="BF50" s="368"/>
      <c r="BG50" s="2"/>
      <c r="BH50" s="2"/>
      <c r="BI50" s="192"/>
    </row>
    <row r="51" spans="1:61" ht="9.9" customHeight="1" x14ac:dyDescent="0.3">
      <c r="A51" s="172"/>
      <c r="B51" s="191"/>
      <c r="C51" s="377" t="s">
        <v>500</v>
      </c>
      <c r="D51" s="377"/>
      <c r="E51" s="377"/>
      <c r="F51" s="377"/>
      <c r="G51" s="377"/>
      <c r="H51" s="377"/>
      <c r="I51" s="377"/>
      <c r="J51" s="377"/>
      <c r="K51" s="377"/>
      <c r="L51" s="377"/>
      <c r="M51" s="377"/>
      <c r="N51" s="377"/>
      <c r="O51" s="377"/>
      <c r="P51" s="377"/>
      <c r="Q51" s="377"/>
      <c r="R51" s="377"/>
      <c r="S51" s="377"/>
      <c r="T51" s="377"/>
      <c r="U51" s="377"/>
      <c r="V51" s="377"/>
      <c r="W51" s="377"/>
      <c r="X51" s="377"/>
      <c r="Y51" s="377"/>
      <c r="Z51" s="377"/>
      <c r="AA51" s="377"/>
      <c r="AB51" s="377"/>
      <c r="AC51" s="377"/>
      <c r="AD51" s="377"/>
      <c r="AE51" s="377"/>
      <c r="AF51" s="377"/>
      <c r="AG51" s="377"/>
      <c r="AH51" s="377"/>
      <c r="AI51" s="377"/>
      <c r="AJ51" s="377"/>
      <c r="AK51" s="377"/>
      <c r="AL51" s="377"/>
      <c r="AM51" s="377"/>
      <c r="AN51" s="377"/>
      <c r="AO51" s="377"/>
      <c r="AP51" s="377"/>
      <c r="AQ51" s="377"/>
      <c r="AR51" s="377"/>
      <c r="AS51" s="377"/>
      <c r="AT51" s="377"/>
      <c r="AU51" s="377"/>
      <c r="AV51" s="377"/>
      <c r="AW51" s="377"/>
      <c r="AX51" s="377"/>
      <c r="AY51" s="377"/>
      <c r="AZ51" s="377"/>
      <c r="BA51" s="377"/>
      <c r="BB51" s="377"/>
      <c r="BC51" s="377"/>
      <c r="BD51" s="377"/>
      <c r="BE51" s="377"/>
      <c r="BF51" s="377"/>
      <c r="BG51" s="377"/>
      <c r="BH51" s="2"/>
      <c r="BI51" s="192"/>
    </row>
    <row r="52" spans="1:61" ht="9.9" customHeight="1" x14ac:dyDescent="0.3">
      <c r="A52" s="172"/>
      <c r="B52" s="191"/>
      <c r="C52" s="377"/>
      <c r="D52" s="377"/>
      <c r="E52" s="377"/>
      <c r="F52" s="377"/>
      <c r="G52" s="377"/>
      <c r="H52" s="377"/>
      <c r="I52" s="377"/>
      <c r="J52" s="377"/>
      <c r="K52" s="377"/>
      <c r="L52" s="377"/>
      <c r="M52" s="377"/>
      <c r="N52" s="377"/>
      <c r="O52" s="377"/>
      <c r="P52" s="377"/>
      <c r="Q52" s="377"/>
      <c r="R52" s="377"/>
      <c r="S52" s="377"/>
      <c r="T52" s="377"/>
      <c r="U52" s="377"/>
      <c r="V52" s="377"/>
      <c r="W52" s="377"/>
      <c r="X52" s="377"/>
      <c r="Y52" s="377"/>
      <c r="Z52" s="377"/>
      <c r="AA52" s="377"/>
      <c r="AB52" s="377"/>
      <c r="AC52" s="377"/>
      <c r="AD52" s="377"/>
      <c r="AE52" s="377"/>
      <c r="AF52" s="377"/>
      <c r="AG52" s="377"/>
      <c r="AH52" s="377"/>
      <c r="AI52" s="377"/>
      <c r="AJ52" s="377"/>
      <c r="AK52" s="377"/>
      <c r="AL52" s="377"/>
      <c r="AM52" s="377"/>
      <c r="AN52" s="377"/>
      <c r="AO52" s="377"/>
      <c r="AP52" s="377"/>
      <c r="AQ52" s="377"/>
      <c r="AR52" s="377"/>
      <c r="AS52" s="377"/>
      <c r="AT52" s="377"/>
      <c r="AU52" s="377"/>
      <c r="AV52" s="377"/>
      <c r="AW52" s="377"/>
      <c r="AX52" s="377"/>
      <c r="AY52" s="377"/>
      <c r="AZ52" s="377"/>
      <c r="BA52" s="377"/>
      <c r="BB52" s="377"/>
      <c r="BC52" s="377"/>
      <c r="BD52" s="377"/>
      <c r="BE52" s="377"/>
      <c r="BF52" s="377"/>
      <c r="BG52" s="377"/>
      <c r="BH52" s="2"/>
      <c r="BI52" s="192"/>
    </row>
    <row r="53" spans="1:61" ht="9.9" customHeight="1" x14ac:dyDescent="0.3">
      <c r="A53" s="172"/>
      <c r="B53" s="191"/>
      <c r="C53" s="377"/>
      <c r="D53" s="377"/>
      <c r="E53" s="377"/>
      <c r="F53" s="377"/>
      <c r="G53" s="377"/>
      <c r="H53" s="377"/>
      <c r="I53" s="377"/>
      <c r="J53" s="377"/>
      <c r="K53" s="377"/>
      <c r="L53" s="377"/>
      <c r="M53" s="377"/>
      <c r="N53" s="377"/>
      <c r="O53" s="377"/>
      <c r="P53" s="377"/>
      <c r="Q53" s="377"/>
      <c r="R53" s="377"/>
      <c r="S53" s="377"/>
      <c r="T53" s="377"/>
      <c r="U53" s="377"/>
      <c r="V53" s="377"/>
      <c r="W53" s="377"/>
      <c r="X53" s="377"/>
      <c r="Y53" s="377"/>
      <c r="Z53" s="377"/>
      <c r="AA53" s="377"/>
      <c r="AB53" s="377"/>
      <c r="AC53" s="377"/>
      <c r="AD53" s="377"/>
      <c r="AE53" s="377"/>
      <c r="AF53" s="377"/>
      <c r="AG53" s="377"/>
      <c r="AH53" s="377"/>
      <c r="AI53" s="377"/>
      <c r="AJ53" s="377"/>
      <c r="AK53" s="377"/>
      <c r="AL53" s="377"/>
      <c r="AM53" s="377"/>
      <c r="AN53" s="377"/>
      <c r="AO53" s="377"/>
      <c r="AP53" s="377"/>
      <c r="AQ53" s="377"/>
      <c r="AR53" s="377"/>
      <c r="AS53" s="377"/>
      <c r="AT53" s="377"/>
      <c r="AU53" s="377"/>
      <c r="AV53" s="377"/>
      <c r="AW53" s="377"/>
      <c r="AX53" s="377"/>
      <c r="AY53" s="377"/>
      <c r="AZ53" s="377"/>
      <c r="BA53" s="377"/>
      <c r="BB53" s="377"/>
      <c r="BC53" s="377"/>
      <c r="BD53" s="377"/>
      <c r="BE53" s="377"/>
      <c r="BF53" s="377"/>
      <c r="BG53" s="377"/>
      <c r="BH53" s="2"/>
      <c r="BI53" s="192"/>
    </row>
    <row r="54" spans="1:61" ht="9.9" customHeight="1" x14ac:dyDescent="0.3">
      <c r="A54" s="172"/>
      <c r="B54" s="191"/>
      <c r="C54" s="377"/>
      <c r="D54" s="377"/>
      <c r="E54" s="377"/>
      <c r="F54" s="377"/>
      <c r="G54" s="377"/>
      <c r="H54" s="377"/>
      <c r="I54" s="377"/>
      <c r="J54" s="377"/>
      <c r="K54" s="377"/>
      <c r="L54" s="377"/>
      <c r="M54" s="377"/>
      <c r="N54" s="377"/>
      <c r="O54" s="377"/>
      <c r="P54" s="377"/>
      <c r="Q54" s="377"/>
      <c r="R54" s="377"/>
      <c r="S54" s="377"/>
      <c r="T54" s="377"/>
      <c r="U54" s="377"/>
      <c r="V54" s="377"/>
      <c r="W54" s="377"/>
      <c r="X54" s="377"/>
      <c r="Y54" s="377"/>
      <c r="Z54" s="377"/>
      <c r="AA54" s="377"/>
      <c r="AB54" s="377"/>
      <c r="AC54" s="377"/>
      <c r="AD54" s="377"/>
      <c r="AE54" s="377"/>
      <c r="AF54" s="377"/>
      <c r="AG54" s="377"/>
      <c r="AH54" s="377"/>
      <c r="AI54" s="377"/>
      <c r="AJ54" s="377"/>
      <c r="AK54" s="377"/>
      <c r="AL54" s="377"/>
      <c r="AM54" s="377"/>
      <c r="AN54" s="377"/>
      <c r="AO54" s="377"/>
      <c r="AP54" s="377"/>
      <c r="AQ54" s="377"/>
      <c r="AR54" s="377"/>
      <c r="AS54" s="377"/>
      <c r="AT54" s="377"/>
      <c r="AU54" s="377"/>
      <c r="AV54" s="377"/>
      <c r="AW54" s="377"/>
      <c r="AX54" s="377"/>
      <c r="AY54" s="377"/>
      <c r="AZ54" s="377"/>
      <c r="BA54" s="377"/>
      <c r="BB54" s="377"/>
      <c r="BC54" s="377"/>
      <c r="BD54" s="377"/>
      <c r="BE54" s="377"/>
      <c r="BF54" s="377"/>
      <c r="BG54" s="377"/>
      <c r="BH54" s="2"/>
      <c r="BI54" s="192"/>
    </row>
    <row r="55" spans="1:61" ht="9.9" customHeight="1" x14ac:dyDescent="0.3">
      <c r="A55" s="172"/>
      <c r="B55" s="191"/>
      <c r="C55" s="377"/>
      <c r="D55" s="377"/>
      <c r="E55" s="377"/>
      <c r="F55" s="377"/>
      <c r="G55" s="377"/>
      <c r="H55" s="377"/>
      <c r="I55" s="377"/>
      <c r="J55" s="377"/>
      <c r="K55" s="377"/>
      <c r="L55" s="377"/>
      <c r="M55" s="377"/>
      <c r="N55" s="377"/>
      <c r="O55" s="377"/>
      <c r="P55" s="377"/>
      <c r="Q55" s="377"/>
      <c r="R55" s="377"/>
      <c r="S55" s="377"/>
      <c r="T55" s="377"/>
      <c r="U55" s="377"/>
      <c r="V55" s="377"/>
      <c r="W55" s="377"/>
      <c r="X55" s="377"/>
      <c r="Y55" s="377"/>
      <c r="Z55" s="377"/>
      <c r="AA55" s="377"/>
      <c r="AB55" s="377"/>
      <c r="AC55" s="377"/>
      <c r="AD55" s="377"/>
      <c r="AE55" s="377"/>
      <c r="AF55" s="377"/>
      <c r="AG55" s="377"/>
      <c r="AH55" s="377"/>
      <c r="AI55" s="377"/>
      <c r="AJ55" s="377"/>
      <c r="AK55" s="377"/>
      <c r="AL55" s="377"/>
      <c r="AM55" s="377"/>
      <c r="AN55" s="377"/>
      <c r="AO55" s="377"/>
      <c r="AP55" s="377"/>
      <c r="AQ55" s="377"/>
      <c r="AR55" s="377"/>
      <c r="AS55" s="377"/>
      <c r="AT55" s="377"/>
      <c r="AU55" s="377"/>
      <c r="AV55" s="377"/>
      <c r="AW55" s="377"/>
      <c r="AX55" s="377"/>
      <c r="AY55" s="377"/>
      <c r="AZ55" s="377"/>
      <c r="BA55" s="377"/>
      <c r="BB55" s="377"/>
      <c r="BC55" s="377"/>
      <c r="BD55" s="377"/>
      <c r="BE55" s="377"/>
      <c r="BF55" s="377"/>
      <c r="BG55" s="377"/>
      <c r="BH55" s="2"/>
      <c r="BI55" s="192"/>
    </row>
    <row r="56" spans="1:61" ht="9.9" customHeight="1" x14ac:dyDescent="0.3">
      <c r="A56" s="172"/>
      <c r="B56" s="191"/>
      <c r="C56" s="377"/>
      <c r="D56" s="377"/>
      <c r="E56" s="377"/>
      <c r="F56" s="377"/>
      <c r="G56" s="377"/>
      <c r="H56" s="377"/>
      <c r="I56" s="377"/>
      <c r="J56" s="377"/>
      <c r="K56" s="377"/>
      <c r="L56" s="377"/>
      <c r="M56" s="377"/>
      <c r="N56" s="377"/>
      <c r="O56" s="377"/>
      <c r="P56" s="377"/>
      <c r="Q56" s="377"/>
      <c r="R56" s="377"/>
      <c r="S56" s="377"/>
      <c r="T56" s="377"/>
      <c r="U56" s="377"/>
      <c r="V56" s="377"/>
      <c r="W56" s="377"/>
      <c r="X56" s="377"/>
      <c r="Y56" s="377"/>
      <c r="Z56" s="377"/>
      <c r="AA56" s="377"/>
      <c r="AB56" s="377"/>
      <c r="AC56" s="377"/>
      <c r="AD56" s="377"/>
      <c r="AE56" s="377"/>
      <c r="AF56" s="377"/>
      <c r="AG56" s="377"/>
      <c r="AH56" s="377"/>
      <c r="AI56" s="377"/>
      <c r="AJ56" s="377"/>
      <c r="AK56" s="377"/>
      <c r="AL56" s="377"/>
      <c r="AM56" s="377"/>
      <c r="AN56" s="377"/>
      <c r="AO56" s="377"/>
      <c r="AP56" s="377"/>
      <c r="AQ56" s="377"/>
      <c r="AR56" s="377"/>
      <c r="AS56" s="377"/>
      <c r="AT56" s="377"/>
      <c r="AU56" s="377"/>
      <c r="AV56" s="377"/>
      <c r="AW56" s="377"/>
      <c r="AX56" s="377"/>
      <c r="AY56" s="377"/>
      <c r="AZ56" s="377"/>
      <c r="BA56" s="377"/>
      <c r="BB56" s="377"/>
      <c r="BC56" s="377"/>
      <c r="BD56" s="377"/>
      <c r="BE56" s="377"/>
      <c r="BF56" s="377"/>
      <c r="BG56" s="377"/>
      <c r="BH56" s="2"/>
      <c r="BI56" s="192"/>
    </row>
    <row r="57" spans="1:61" ht="9.9" customHeight="1" x14ac:dyDescent="0.3">
      <c r="A57" s="172"/>
      <c r="B57" s="191"/>
      <c r="C57" s="377"/>
      <c r="D57" s="377"/>
      <c r="E57" s="377"/>
      <c r="F57" s="377"/>
      <c r="G57" s="377"/>
      <c r="H57" s="377"/>
      <c r="I57" s="377"/>
      <c r="J57" s="377"/>
      <c r="K57" s="377"/>
      <c r="L57" s="377"/>
      <c r="M57" s="377"/>
      <c r="N57" s="377"/>
      <c r="O57" s="377"/>
      <c r="P57" s="377"/>
      <c r="Q57" s="377"/>
      <c r="R57" s="377"/>
      <c r="S57" s="377"/>
      <c r="T57" s="377"/>
      <c r="U57" s="377"/>
      <c r="V57" s="377"/>
      <c r="W57" s="377"/>
      <c r="X57" s="377"/>
      <c r="Y57" s="377"/>
      <c r="Z57" s="377"/>
      <c r="AA57" s="377"/>
      <c r="AB57" s="377"/>
      <c r="AC57" s="377"/>
      <c r="AD57" s="377"/>
      <c r="AE57" s="377"/>
      <c r="AF57" s="377"/>
      <c r="AG57" s="377"/>
      <c r="AH57" s="377"/>
      <c r="AI57" s="377"/>
      <c r="AJ57" s="377"/>
      <c r="AK57" s="377"/>
      <c r="AL57" s="377"/>
      <c r="AM57" s="377"/>
      <c r="AN57" s="377"/>
      <c r="AO57" s="377"/>
      <c r="AP57" s="377"/>
      <c r="AQ57" s="377"/>
      <c r="AR57" s="377"/>
      <c r="AS57" s="377"/>
      <c r="AT57" s="377"/>
      <c r="AU57" s="377"/>
      <c r="AV57" s="377"/>
      <c r="AW57" s="377"/>
      <c r="AX57" s="377"/>
      <c r="AY57" s="377"/>
      <c r="AZ57" s="377"/>
      <c r="BA57" s="377"/>
      <c r="BB57" s="377"/>
      <c r="BC57" s="377"/>
      <c r="BD57" s="377"/>
      <c r="BE57" s="377"/>
      <c r="BF57" s="377"/>
      <c r="BG57" s="377"/>
      <c r="BH57" s="2"/>
      <c r="BI57" s="192"/>
    </row>
    <row r="58" spans="1:61" ht="9.9" customHeight="1" x14ac:dyDescent="0.3">
      <c r="A58" s="172"/>
      <c r="B58" s="191"/>
      <c r="C58" s="377"/>
      <c r="D58" s="377"/>
      <c r="E58" s="377"/>
      <c r="F58" s="377"/>
      <c r="G58" s="377"/>
      <c r="H58" s="377"/>
      <c r="I58" s="377"/>
      <c r="J58" s="377"/>
      <c r="K58" s="377"/>
      <c r="L58" s="377"/>
      <c r="M58" s="377"/>
      <c r="N58" s="377"/>
      <c r="O58" s="377"/>
      <c r="P58" s="377"/>
      <c r="Q58" s="377"/>
      <c r="R58" s="377"/>
      <c r="S58" s="377"/>
      <c r="T58" s="377"/>
      <c r="U58" s="377"/>
      <c r="V58" s="377"/>
      <c r="W58" s="377"/>
      <c r="X58" s="377"/>
      <c r="Y58" s="377"/>
      <c r="Z58" s="377"/>
      <c r="AA58" s="377"/>
      <c r="AB58" s="377"/>
      <c r="AC58" s="377"/>
      <c r="AD58" s="377"/>
      <c r="AE58" s="377"/>
      <c r="AF58" s="377"/>
      <c r="AG58" s="377"/>
      <c r="AH58" s="377"/>
      <c r="AI58" s="377"/>
      <c r="AJ58" s="377"/>
      <c r="AK58" s="377"/>
      <c r="AL58" s="377"/>
      <c r="AM58" s="377"/>
      <c r="AN58" s="377"/>
      <c r="AO58" s="377"/>
      <c r="AP58" s="377"/>
      <c r="AQ58" s="377"/>
      <c r="AR58" s="377"/>
      <c r="AS58" s="377"/>
      <c r="AT58" s="377"/>
      <c r="AU58" s="377"/>
      <c r="AV58" s="377"/>
      <c r="AW58" s="377"/>
      <c r="AX58" s="377"/>
      <c r="AY58" s="377"/>
      <c r="AZ58" s="377"/>
      <c r="BA58" s="377"/>
      <c r="BB58" s="377"/>
      <c r="BC58" s="377"/>
      <c r="BD58" s="377"/>
      <c r="BE58" s="377"/>
      <c r="BF58" s="377"/>
      <c r="BG58" s="377"/>
      <c r="BH58" s="2"/>
      <c r="BI58" s="192"/>
    </row>
    <row r="59" spans="1:61" ht="9.9" customHeight="1" x14ac:dyDescent="0.3">
      <c r="A59" s="172"/>
      <c r="B59" s="191"/>
      <c r="C59" s="377"/>
      <c r="D59" s="377"/>
      <c r="E59" s="377"/>
      <c r="F59" s="377"/>
      <c r="G59" s="377"/>
      <c r="H59" s="377"/>
      <c r="I59" s="377"/>
      <c r="J59" s="377"/>
      <c r="K59" s="377"/>
      <c r="L59" s="377"/>
      <c r="M59" s="377"/>
      <c r="N59" s="377"/>
      <c r="O59" s="377"/>
      <c r="P59" s="377"/>
      <c r="Q59" s="377"/>
      <c r="R59" s="377"/>
      <c r="S59" s="377"/>
      <c r="T59" s="377"/>
      <c r="U59" s="377"/>
      <c r="V59" s="377"/>
      <c r="W59" s="377"/>
      <c r="X59" s="377"/>
      <c r="Y59" s="377"/>
      <c r="Z59" s="377"/>
      <c r="AA59" s="377"/>
      <c r="AB59" s="377"/>
      <c r="AC59" s="377"/>
      <c r="AD59" s="377"/>
      <c r="AE59" s="377"/>
      <c r="AF59" s="377"/>
      <c r="AG59" s="377"/>
      <c r="AH59" s="377"/>
      <c r="AI59" s="377"/>
      <c r="AJ59" s="377"/>
      <c r="AK59" s="377"/>
      <c r="AL59" s="377"/>
      <c r="AM59" s="377"/>
      <c r="AN59" s="377"/>
      <c r="AO59" s="377"/>
      <c r="AP59" s="377"/>
      <c r="AQ59" s="377"/>
      <c r="AR59" s="377"/>
      <c r="AS59" s="377"/>
      <c r="AT59" s="377"/>
      <c r="AU59" s="377"/>
      <c r="AV59" s="377"/>
      <c r="AW59" s="377"/>
      <c r="AX59" s="377"/>
      <c r="AY59" s="377"/>
      <c r="AZ59" s="377"/>
      <c r="BA59" s="377"/>
      <c r="BB59" s="377"/>
      <c r="BC59" s="377"/>
      <c r="BD59" s="377"/>
      <c r="BE59" s="377"/>
      <c r="BF59" s="377"/>
      <c r="BG59" s="377"/>
      <c r="BH59" s="2"/>
      <c r="BI59" s="192"/>
    </row>
    <row r="60" spans="1:61" ht="9.9" customHeight="1" x14ac:dyDescent="0.3">
      <c r="A60" s="172"/>
      <c r="B60" s="191"/>
      <c r="C60" s="377"/>
      <c r="D60" s="377"/>
      <c r="E60" s="377"/>
      <c r="F60" s="377"/>
      <c r="G60" s="377"/>
      <c r="H60" s="377"/>
      <c r="I60" s="377"/>
      <c r="J60" s="377"/>
      <c r="K60" s="377"/>
      <c r="L60" s="377"/>
      <c r="M60" s="377"/>
      <c r="N60" s="377"/>
      <c r="O60" s="377"/>
      <c r="P60" s="377"/>
      <c r="Q60" s="377"/>
      <c r="R60" s="377"/>
      <c r="S60" s="377"/>
      <c r="T60" s="377"/>
      <c r="U60" s="377"/>
      <c r="V60" s="377"/>
      <c r="W60" s="377"/>
      <c r="X60" s="377"/>
      <c r="Y60" s="377"/>
      <c r="Z60" s="377"/>
      <c r="AA60" s="377"/>
      <c r="AB60" s="377"/>
      <c r="AC60" s="377"/>
      <c r="AD60" s="377"/>
      <c r="AE60" s="377"/>
      <c r="AF60" s="377"/>
      <c r="AG60" s="377"/>
      <c r="AH60" s="377"/>
      <c r="AI60" s="377"/>
      <c r="AJ60" s="377"/>
      <c r="AK60" s="377"/>
      <c r="AL60" s="377"/>
      <c r="AM60" s="377"/>
      <c r="AN60" s="377"/>
      <c r="AO60" s="377"/>
      <c r="AP60" s="377"/>
      <c r="AQ60" s="377"/>
      <c r="AR60" s="377"/>
      <c r="AS60" s="377"/>
      <c r="AT60" s="377"/>
      <c r="AU60" s="377"/>
      <c r="AV60" s="377"/>
      <c r="AW60" s="377"/>
      <c r="AX60" s="377"/>
      <c r="AY60" s="377"/>
      <c r="AZ60" s="377"/>
      <c r="BA60" s="377"/>
      <c r="BB60" s="377"/>
      <c r="BC60" s="377"/>
      <c r="BD60" s="377"/>
      <c r="BE60" s="377"/>
      <c r="BF60" s="377"/>
      <c r="BG60" s="377"/>
      <c r="BH60" s="225"/>
      <c r="BI60" s="192"/>
    </row>
    <row r="61" spans="1:61" ht="9.9" customHeight="1" x14ac:dyDescent="0.3">
      <c r="A61" s="172"/>
      <c r="B61" s="191"/>
      <c r="C61" s="377"/>
      <c r="D61" s="377"/>
      <c r="E61" s="377"/>
      <c r="F61" s="377"/>
      <c r="G61" s="377"/>
      <c r="H61" s="377"/>
      <c r="I61" s="377"/>
      <c r="J61" s="377"/>
      <c r="K61" s="377"/>
      <c r="L61" s="377"/>
      <c r="M61" s="377"/>
      <c r="N61" s="377"/>
      <c r="O61" s="377"/>
      <c r="P61" s="377"/>
      <c r="Q61" s="377"/>
      <c r="R61" s="377"/>
      <c r="S61" s="377"/>
      <c r="T61" s="377"/>
      <c r="U61" s="377"/>
      <c r="V61" s="377"/>
      <c r="W61" s="377"/>
      <c r="X61" s="377"/>
      <c r="Y61" s="377"/>
      <c r="Z61" s="377"/>
      <c r="AA61" s="377"/>
      <c r="AB61" s="377"/>
      <c r="AC61" s="377"/>
      <c r="AD61" s="377"/>
      <c r="AE61" s="377"/>
      <c r="AF61" s="377"/>
      <c r="AG61" s="377"/>
      <c r="AH61" s="377"/>
      <c r="AI61" s="377"/>
      <c r="AJ61" s="377"/>
      <c r="AK61" s="377"/>
      <c r="AL61" s="377"/>
      <c r="AM61" s="377"/>
      <c r="AN61" s="377"/>
      <c r="AO61" s="377"/>
      <c r="AP61" s="377"/>
      <c r="AQ61" s="377"/>
      <c r="AR61" s="377"/>
      <c r="AS61" s="377"/>
      <c r="AT61" s="377"/>
      <c r="AU61" s="377"/>
      <c r="AV61" s="377"/>
      <c r="AW61" s="377"/>
      <c r="AX61" s="377"/>
      <c r="AY61" s="377"/>
      <c r="AZ61" s="377"/>
      <c r="BA61" s="377"/>
      <c r="BB61" s="377"/>
      <c r="BC61" s="377"/>
      <c r="BD61" s="377"/>
      <c r="BE61" s="377"/>
      <c r="BF61" s="377"/>
      <c r="BG61" s="377"/>
      <c r="BH61" s="2"/>
      <c r="BI61" s="192"/>
    </row>
    <row r="62" spans="1:61" ht="9.9" customHeight="1" x14ac:dyDescent="0.3">
      <c r="A62" s="172"/>
      <c r="B62" s="191"/>
      <c r="C62" s="377"/>
      <c r="D62" s="377"/>
      <c r="E62" s="377"/>
      <c r="F62" s="377"/>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7"/>
      <c r="AE62" s="377"/>
      <c r="AF62" s="377"/>
      <c r="AG62" s="377"/>
      <c r="AH62" s="377"/>
      <c r="AI62" s="377"/>
      <c r="AJ62" s="377"/>
      <c r="AK62" s="377"/>
      <c r="AL62" s="377"/>
      <c r="AM62" s="377"/>
      <c r="AN62" s="377"/>
      <c r="AO62" s="377"/>
      <c r="AP62" s="377"/>
      <c r="AQ62" s="377"/>
      <c r="AR62" s="377"/>
      <c r="AS62" s="377"/>
      <c r="AT62" s="377"/>
      <c r="AU62" s="377"/>
      <c r="AV62" s="377"/>
      <c r="AW62" s="377"/>
      <c r="AX62" s="377"/>
      <c r="AY62" s="377"/>
      <c r="AZ62" s="377"/>
      <c r="BA62" s="377"/>
      <c r="BB62" s="377"/>
      <c r="BC62" s="377"/>
      <c r="BD62" s="377"/>
      <c r="BE62" s="377"/>
      <c r="BF62" s="377"/>
      <c r="BG62" s="377"/>
      <c r="BH62" s="2"/>
      <c r="BI62" s="192"/>
    </row>
    <row r="63" spans="1:61" ht="9.9" customHeight="1" x14ac:dyDescent="0.3">
      <c r="A63" s="172"/>
      <c r="B63" s="191"/>
      <c r="C63" s="368" t="s">
        <v>447</v>
      </c>
      <c r="D63" s="368"/>
      <c r="E63" s="368"/>
      <c r="F63" s="368"/>
      <c r="G63" s="368"/>
      <c r="H63" s="368"/>
      <c r="I63" s="368"/>
      <c r="J63" s="368"/>
      <c r="K63" s="368"/>
      <c r="L63" s="368"/>
      <c r="M63" s="368"/>
      <c r="N63" s="368"/>
      <c r="O63" s="368"/>
      <c r="P63" s="368"/>
      <c r="Q63" s="368"/>
      <c r="R63" s="368"/>
      <c r="S63" s="368"/>
      <c r="T63" s="368"/>
      <c r="U63" s="368"/>
      <c r="V63" s="368"/>
      <c r="W63" s="368"/>
      <c r="X63" s="368"/>
      <c r="Y63" s="368"/>
      <c r="Z63" s="368"/>
      <c r="AA63" s="368"/>
      <c r="AB63" s="368"/>
      <c r="AC63" s="368"/>
      <c r="AD63" s="368"/>
      <c r="AE63" s="368"/>
      <c r="AF63" s="368"/>
      <c r="AG63" s="368"/>
      <c r="AH63" s="368"/>
      <c r="AI63" s="368"/>
      <c r="AJ63" s="368"/>
      <c r="AK63" s="368"/>
      <c r="AL63" s="368"/>
      <c r="AM63" s="368"/>
      <c r="AN63" s="368"/>
      <c r="AO63" s="368"/>
      <c r="AP63" s="368"/>
      <c r="AQ63" s="368"/>
      <c r="AR63" s="368"/>
      <c r="AS63" s="368"/>
      <c r="AT63" s="368"/>
      <c r="AU63" s="368"/>
      <c r="AV63" s="368"/>
      <c r="AW63" s="368"/>
      <c r="AX63" s="368"/>
      <c r="AY63" s="368"/>
      <c r="AZ63" s="368"/>
      <c r="BA63" s="368"/>
      <c r="BB63" s="368"/>
      <c r="BC63" s="368"/>
      <c r="BD63" s="368"/>
      <c r="BE63" s="368"/>
      <c r="BF63" s="368"/>
      <c r="BG63" s="2"/>
      <c r="BH63" s="2"/>
      <c r="BI63" s="192"/>
    </row>
    <row r="64" spans="1:61" ht="9.9" customHeight="1" x14ac:dyDescent="0.3">
      <c r="A64" s="172"/>
      <c r="B64" s="191"/>
      <c r="C64" s="368"/>
      <c r="D64" s="368"/>
      <c r="E64" s="368"/>
      <c r="F64" s="368"/>
      <c r="G64" s="368"/>
      <c r="H64" s="368"/>
      <c r="I64" s="368"/>
      <c r="J64" s="368"/>
      <c r="K64" s="368"/>
      <c r="L64" s="368"/>
      <c r="M64" s="368"/>
      <c r="N64" s="368"/>
      <c r="O64" s="368"/>
      <c r="P64" s="368"/>
      <c r="Q64" s="368"/>
      <c r="R64" s="368"/>
      <c r="S64" s="368"/>
      <c r="T64" s="368"/>
      <c r="U64" s="368"/>
      <c r="V64" s="368"/>
      <c r="W64" s="368"/>
      <c r="X64" s="368"/>
      <c r="Y64" s="368"/>
      <c r="Z64" s="368"/>
      <c r="AA64" s="368"/>
      <c r="AB64" s="368"/>
      <c r="AC64" s="368"/>
      <c r="AD64" s="368"/>
      <c r="AE64" s="368"/>
      <c r="AF64" s="368"/>
      <c r="AG64" s="368"/>
      <c r="AH64" s="368"/>
      <c r="AI64" s="368"/>
      <c r="AJ64" s="368"/>
      <c r="AK64" s="368"/>
      <c r="AL64" s="368"/>
      <c r="AM64" s="368"/>
      <c r="AN64" s="368"/>
      <c r="AO64" s="368"/>
      <c r="AP64" s="368"/>
      <c r="AQ64" s="368"/>
      <c r="AR64" s="368"/>
      <c r="AS64" s="368"/>
      <c r="AT64" s="368"/>
      <c r="AU64" s="368"/>
      <c r="AV64" s="368"/>
      <c r="AW64" s="368"/>
      <c r="AX64" s="368"/>
      <c r="AY64" s="368"/>
      <c r="AZ64" s="368"/>
      <c r="BA64" s="368"/>
      <c r="BB64" s="368"/>
      <c r="BC64" s="368"/>
      <c r="BD64" s="368"/>
      <c r="BE64" s="368"/>
      <c r="BF64" s="368"/>
      <c r="BG64" s="350"/>
      <c r="BH64" s="2"/>
      <c r="BI64" s="192"/>
    </row>
    <row r="65" spans="1:61" ht="9.9" customHeight="1" x14ac:dyDescent="0.3">
      <c r="A65" s="172"/>
      <c r="B65" s="191"/>
      <c r="C65" s="365" t="s">
        <v>499</v>
      </c>
      <c r="D65" s="365"/>
      <c r="E65" s="365"/>
      <c r="F65" s="365"/>
      <c r="G65" s="365"/>
      <c r="H65" s="365"/>
      <c r="I65" s="365"/>
      <c r="J65" s="365"/>
      <c r="K65" s="365"/>
      <c r="L65" s="365"/>
      <c r="M65" s="365"/>
      <c r="N65" s="365"/>
      <c r="O65" s="365"/>
      <c r="P65" s="365"/>
      <c r="Q65" s="365"/>
      <c r="R65" s="365"/>
      <c r="S65" s="365"/>
      <c r="T65" s="365"/>
      <c r="U65" s="365"/>
      <c r="V65" s="365"/>
      <c r="W65" s="365"/>
      <c r="X65" s="365"/>
      <c r="Y65" s="365"/>
      <c r="Z65" s="365"/>
      <c r="AA65" s="365"/>
      <c r="AB65" s="365"/>
      <c r="AC65" s="365"/>
      <c r="AD65" s="365"/>
      <c r="AE65" s="365"/>
      <c r="AF65" s="365"/>
      <c r="AG65" s="365"/>
      <c r="AH65" s="365"/>
      <c r="AI65" s="365"/>
      <c r="AJ65" s="365"/>
      <c r="AK65" s="365"/>
      <c r="AL65" s="365"/>
      <c r="AM65" s="365"/>
      <c r="AN65" s="365"/>
      <c r="AO65" s="365"/>
      <c r="AP65" s="365"/>
      <c r="AQ65" s="365"/>
      <c r="AR65" s="365"/>
      <c r="AS65" s="365"/>
      <c r="AT65" s="365"/>
      <c r="AU65" s="365"/>
      <c r="AV65" s="365"/>
      <c r="AW65" s="365"/>
      <c r="AX65" s="365"/>
      <c r="AY65" s="365"/>
      <c r="AZ65" s="365"/>
      <c r="BA65" s="365"/>
      <c r="BB65" s="365"/>
      <c r="BC65" s="365"/>
      <c r="BD65" s="365"/>
      <c r="BE65" s="365"/>
      <c r="BF65" s="365"/>
      <c r="BG65" s="350"/>
      <c r="BH65" s="2"/>
      <c r="BI65" s="192"/>
    </row>
    <row r="66" spans="1:61" ht="9.9" customHeight="1" x14ac:dyDescent="0.3">
      <c r="A66" s="172"/>
      <c r="B66" s="191"/>
      <c r="C66" s="365"/>
      <c r="D66" s="365"/>
      <c r="E66" s="365"/>
      <c r="F66" s="365"/>
      <c r="G66" s="365"/>
      <c r="H66" s="365"/>
      <c r="I66" s="365"/>
      <c r="J66" s="365"/>
      <c r="K66" s="365"/>
      <c r="L66" s="365"/>
      <c r="M66" s="365"/>
      <c r="N66" s="365"/>
      <c r="O66" s="365"/>
      <c r="P66" s="365"/>
      <c r="Q66" s="365"/>
      <c r="R66" s="365"/>
      <c r="S66" s="365"/>
      <c r="T66" s="365"/>
      <c r="U66" s="365"/>
      <c r="V66" s="365"/>
      <c r="W66" s="365"/>
      <c r="X66" s="365"/>
      <c r="Y66" s="365"/>
      <c r="Z66" s="365"/>
      <c r="AA66" s="365"/>
      <c r="AB66" s="365"/>
      <c r="AC66" s="365"/>
      <c r="AD66" s="365"/>
      <c r="AE66" s="365"/>
      <c r="AF66" s="365"/>
      <c r="AG66" s="365"/>
      <c r="AH66" s="365"/>
      <c r="AI66" s="365"/>
      <c r="AJ66" s="365"/>
      <c r="AK66" s="365"/>
      <c r="AL66" s="365"/>
      <c r="AM66" s="365"/>
      <c r="AN66" s="365"/>
      <c r="AO66" s="365"/>
      <c r="AP66" s="365"/>
      <c r="AQ66" s="365"/>
      <c r="AR66" s="365"/>
      <c r="AS66" s="365"/>
      <c r="AT66" s="365"/>
      <c r="AU66" s="365"/>
      <c r="AV66" s="365"/>
      <c r="AW66" s="365"/>
      <c r="AX66" s="365"/>
      <c r="AY66" s="365"/>
      <c r="AZ66" s="365"/>
      <c r="BA66" s="365"/>
      <c r="BB66" s="365"/>
      <c r="BC66" s="365"/>
      <c r="BD66" s="365"/>
      <c r="BE66" s="365"/>
      <c r="BF66" s="365"/>
      <c r="BG66" s="350"/>
      <c r="BH66" s="2"/>
      <c r="BI66" s="192"/>
    </row>
    <row r="67" spans="1:61" ht="9.9" customHeight="1" x14ac:dyDescent="0.3">
      <c r="A67" s="172"/>
      <c r="B67" s="191"/>
      <c r="C67" s="365"/>
      <c r="D67" s="365"/>
      <c r="E67" s="365"/>
      <c r="F67" s="365"/>
      <c r="G67" s="365"/>
      <c r="H67" s="365"/>
      <c r="I67" s="365"/>
      <c r="J67" s="365"/>
      <c r="K67" s="365"/>
      <c r="L67" s="365"/>
      <c r="M67" s="365"/>
      <c r="N67" s="365"/>
      <c r="O67" s="365"/>
      <c r="P67" s="365"/>
      <c r="Q67" s="365"/>
      <c r="R67" s="365"/>
      <c r="S67" s="365"/>
      <c r="T67" s="365"/>
      <c r="U67" s="365"/>
      <c r="V67" s="365"/>
      <c r="W67" s="365"/>
      <c r="X67" s="365"/>
      <c r="Y67" s="365"/>
      <c r="Z67" s="365"/>
      <c r="AA67" s="365"/>
      <c r="AB67" s="365"/>
      <c r="AC67" s="365"/>
      <c r="AD67" s="365"/>
      <c r="AE67" s="365"/>
      <c r="AF67" s="365"/>
      <c r="AG67" s="365"/>
      <c r="AH67" s="365"/>
      <c r="AI67" s="365"/>
      <c r="AJ67" s="365"/>
      <c r="AK67" s="365"/>
      <c r="AL67" s="365"/>
      <c r="AM67" s="365"/>
      <c r="AN67" s="365"/>
      <c r="AO67" s="365"/>
      <c r="AP67" s="365"/>
      <c r="AQ67" s="365"/>
      <c r="AR67" s="365"/>
      <c r="AS67" s="365"/>
      <c r="AT67" s="365"/>
      <c r="AU67" s="365"/>
      <c r="AV67" s="365"/>
      <c r="AW67" s="365"/>
      <c r="AX67" s="365"/>
      <c r="AY67" s="365"/>
      <c r="AZ67" s="365"/>
      <c r="BA67" s="365"/>
      <c r="BB67" s="365"/>
      <c r="BC67" s="365"/>
      <c r="BD67" s="365"/>
      <c r="BE67" s="365"/>
      <c r="BF67" s="365"/>
      <c r="BG67" s="350"/>
      <c r="BH67" s="2"/>
      <c r="BI67" s="192"/>
    </row>
    <row r="68" spans="1:61" ht="9.9" customHeight="1" x14ac:dyDescent="0.3">
      <c r="A68" s="172"/>
      <c r="B68" s="191"/>
      <c r="C68" s="365"/>
      <c r="D68" s="365"/>
      <c r="E68" s="365"/>
      <c r="F68" s="365"/>
      <c r="G68" s="365"/>
      <c r="H68" s="365"/>
      <c r="I68" s="365"/>
      <c r="J68" s="365"/>
      <c r="K68" s="365"/>
      <c r="L68" s="365"/>
      <c r="M68" s="365"/>
      <c r="N68" s="365"/>
      <c r="O68" s="365"/>
      <c r="P68" s="365"/>
      <c r="Q68" s="365"/>
      <c r="R68" s="365"/>
      <c r="S68" s="365"/>
      <c r="T68" s="365"/>
      <c r="U68" s="365"/>
      <c r="V68" s="365"/>
      <c r="W68" s="365"/>
      <c r="X68" s="365"/>
      <c r="Y68" s="365"/>
      <c r="Z68" s="365"/>
      <c r="AA68" s="365"/>
      <c r="AB68" s="365"/>
      <c r="AC68" s="365"/>
      <c r="AD68" s="365"/>
      <c r="AE68" s="365"/>
      <c r="AF68" s="365"/>
      <c r="AG68" s="365"/>
      <c r="AH68" s="365"/>
      <c r="AI68" s="365"/>
      <c r="AJ68" s="365"/>
      <c r="AK68" s="365"/>
      <c r="AL68" s="365"/>
      <c r="AM68" s="365"/>
      <c r="AN68" s="365"/>
      <c r="AO68" s="365"/>
      <c r="AP68" s="365"/>
      <c r="AQ68" s="365"/>
      <c r="AR68" s="365"/>
      <c r="AS68" s="365"/>
      <c r="AT68" s="365"/>
      <c r="AU68" s="365"/>
      <c r="AV68" s="365"/>
      <c r="AW68" s="365"/>
      <c r="AX68" s="365"/>
      <c r="AY68" s="365"/>
      <c r="AZ68" s="365"/>
      <c r="BA68" s="365"/>
      <c r="BB68" s="365"/>
      <c r="BC68" s="365"/>
      <c r="BD68" s="365"/>
      <c r="BE68" s="365"/>
      <c r="BF68" s="365"/>
      <c r="BG68" s="350"/>
      <c r="BH68" s="2"/>
      <c r="BI68" s="192"/>
    </row>
    <row r="69" spans="1:61" ht="9.9" customHeight="1" x14ac:dyDescent="0.3">
      <c r="A69" s="172"/>
      <c r="B69" s="191"/>
      <c r="C69" s="365"/>
      <c r="D69" s="365"/>
      <c r="E69" s="365"/>
      <c r="F69" s="365"/>
      <c r="G69" s="365"/>
      <c r="H69" s="365"/>
      <c r="I69" s="365"/>
      <c r="J69" s="365"/>
      <c r="K69" s="365"/>
      <c r="L69" s="365"/>
      <c r="M69" s="365"/>
      <c r="N69" s="365"/>
      <c r="O69" s="365"/>
      <c r="P69" s="365"/>
      <c r="Q69" s="365"/>
      <c r="R69" s="365"/>
      <c r="S69" s="365"/>
      <c r="T69" s="365"/>
      <c r="U69" s="365"/>
      <c r="V69" s="365"/>
      <c r="W69" s="365"/>
      <c r="X69" s="365"/>
      <c r="Y69" s="365"/>
      <c r="Z69" s="365"/>
      <c r="AA69" s="365"/>
      <c r="AB69" s="365"/>
      <c r="AC69" s="365"/>
      <c r="AD69" s="365"/>
      <c r="AE69" s="365"/>
      <c r="AF69" s="365"/>
      <c r="AG69" s="365"/>
      <c r="AH69" s="365"/>
      <c r="AI69" s="365"/>
      <c r="AJ69" s="365"/>
      <c r="AK69" s="365"/>
      <c r="AL69" s="365"/>
      <c r="AM69" s="365"/>
      <c r="AN69" s="365"/>
      <c r="AO69" s="365"/>
      <c r="AP69" s="365"/>
      <c r="AQ69" s="365"/>
      <c r="AR69" s="365"/>
      <c r="AS69" s="365"/>
      <c r="AT69" s="365"/>
      <c r="AU69" s="365"/>
      <c r="AV69" s="365"/>
      <c r="AW69" s="365"/>
      <c r="AX69" s="365"/>
      <c r="AY69" s="365"/>
      <c r="AZ69" s="365"/>
      <c r="BA69" s="365"/>
      <c r="BB69" s="365"/>
      <c r="BC69" s="365"/>
      <c r="BD69" s="365"/>
      <c r="BE69" s="365"/>
      <c r="BF69" s="365"/>
      <c r="BG69" s="350"/>
      <c r="BH69" s="2"/>
      <c r="BI69" s="192"/>
    </row>
    <row r="70" spans="1:61" ht="9.9" customHeight="1" x14ac:dyDescent="0.3">
      <c r="A70" s="172"/>
      <c r="B70" s="191"/>
      <c r="C70" s="365"/>
      <c r="D70" s="365"/>
      <c r="E70" s="365"/>
      <c r="F70" s="365"/>
      <c r="G70" s="365"/>
      <c r="H70" s="365"/>
      <c r="I70" s="365"/>
      <c r="J70" s="365"/>
      <c r="K70" s="365"/>
      <c r="L70" s="365"/>
      <c r="M70" s="365"/>
      <c r="N70" s="365"/>
      <c r="O70" s="365"/>
      <c r="P70" s="365"/>
      <c r="Q70" s="365"/>
      <c r="R70" s="365"/>
      <c r="S70" s="365"/>
      <c r="T70" s="365"/>
      <c r="U70" s="365"/>
      <c r="V70" s="365"/>
      <c r="W70" s="365"/>
      <c r="X70" s="365"/>
      <c r="Y70" s="365"/>
      <c r="Z70" s="365"/>
      <c r="AA70" s="365"/>
      <c r="AB70" s="365"/>
      <c r="AC70" s="365"/>
      <c r="AD70" s="365"/>
      <c r="AE70" s="365"/>
      <c r="AF70" s="365"/>
      <c r="AG70" s="365"/>
      <c r="AH70" s="365"/>
      <c r="AI70" s="365"/>
      <c r="AJ70" s="365"/>
      <c r="AK70" s="365"/>
      <c r="AL70" s="365"/>
      <c r="AM70" s="365"/>
      <c r="AN70" s="365"/>
      <c r="AO70" s="365"/>
      <c r="AP70" s="365"/>
      <c r="AQ70" s="365"/>
      <c r="AR70" s="365"/>
      <c r="AS70" s="365"/>
      <c r="AT70" s="365"/>
      <c r="AU70" s="365"/>
      <c r="AV70" s="365"/>
      <c r="AW70" s="365"/>
      <c r="AX70" s="365"/>
      <c r="AY70" s="365"/>
      <c r="AZ70" s="365"/>
      <c r="BA70" s="365"/>
      <c r="BB70" s="365"/>
      <c r="BC70" s="365"/>
      <c r="BD70" s="365"/>
      <c r="BE70" s="365"/>
      <c r="BF70" s="365"/>
      <c r="BG70" s="350"/>
      <c r="BH70" s="2"/>
      <c r="BI70" s="192"/>
    </row>
    <row r="71" spans="1:61" ht="9.9" customHeight="1" x14ac:dyDescent="0.3">
      <c r="A71" s="172"/>
      <c r="B71" s="191"/>
      <c r="C71" s="350"/>
      <c r="D71" s="350"/>
      <c r="E71" s="350"/>
      <c r="F71" s="350"/>
      <c r="G71" s="350"/>
      <c r="H71" s="350"/>
      <c r="I71" s="350"/>
      <c r="J71" s="350"/>
      <c r="K71" s="350"/>
      <c r="L71" s="350"/>
      <c r="M71" s="350"/>
      <c r="N71" s="350"/>
      <c r="O71" s="350"/>
      <c r="P71" s="350"/>
      <c r="Q71" s="350"/>
      <c r="R71" s="350"/>
      <c r="S71" s="350"/>
      <c r="T71" s="350"/>
      <c r="U71" s="350"/>
      <c r="V71" s="350"/>
      <c r="W71" s="350"/>
      <c r="X71" s="350"/>
      <c r="Y71" s="350"/>
      <c r="Z71" s="350"/>
      <c r="AA71" s="350"/>
      <c r="AB71" s="350"/>
      <c r="AC71" s="350"/>
      <c r="AD71" s="350"/>
      <c r="AE71" s="350"/>
      <c r="AF71" s="350"/>
      <c r="AG71" s="350"/>
      <c r="AH71" s="350"/>
      <c r="AI71" s="350"/>
      <c r="AJ71" s="350"/>
      <c r="AK71" s="350"/>
      <c r="AL71" s="350"/>
      <c r="AM71" s="350"/>
      <c r="AN71" s="350"/>
      <c r="AO71" s="350"/>
      <c r="AP71" s="350"/>
      <c r="AQ71" s="350"/>
      <c r="AR71" s="350"/>
      <c r="AS71" s="350"/>
      <c r="AT71" s="350"/>
      <c r="AU71" s="350"/>
      <c r="AV71" s="350"/>
      <c r="AW71" s="350"/>
      <c r="AX71" s="350"/>
      <c r="AY71" s="350"/>
      <c r="AZ71" s="350"/>
      <c r="BA71" s="350"/>
      <c r="BB71" s="350"/>
      <c r="BC71" s="350"/>
      <c r="BD71" s="350"/>
      <c r="BE71" s="350"/>
      <c r="BF71" s="350"/>
      <c r="BG71" s="350"/>
      <c r="BH71" s="2"/>
      <c r="BI71" s="192"/>
    </row>
    <row r="72" spans="1:61" ht="9.9" customHeight="1" x14ac:dyDescent="0.3">
      <c r="A72" s="172"/>
      <c r="B72" s="191"/>
      <c r="C72" s="376">
        <v>43374</v>
      </c>
      <c r="D72" s="368"/>
      <c r="E72" s="368"/>
      <c r="F72" s="368"/>
      <c r="G72" s="368"/>
      <c r="H72" s="368"/>
      <c r="I72" s="368"/>
      <c r="J72" s="368"/>
      <c r="K72" s="368"/>
      <c r="L72" s="368"/>
      <c r="M72" s="368"/>
      <c r="N72" s="368"/>
      <c r="O72" s="368"/>
      <c r="P72" s="368"/>
      <c r="Q72" s="368"/>
      <c r="R72" s="368"/>
      <c r="S72" s="368"/>
      <c r="T72" s="368"/>
      <c r="U72" s="368"/>
      <c r="V72" s="368"/>
      <c r="W72" s="368"/>
      <c r="X72" s="368"/>
      <c r="Y72" s="368"/>
      <c r="Z72" s="368"/>
      <c r="AA72" s="368"/>
      <c r="AB72" s="368"/>
      <c r="AC72" s="368"/>
      <c r="AD72" s="368"/>
      <c r="AE72" s="368"/>
      <c r="AF72" s="368"/>
      <c r="AG72" s="368"/>
      <c r="AH72" s="368"/>
      <c r="AI72" s="368"/>
      <c r="AJ72" s="368"/>
      <c r="AK72" s="368"/>
      <c r="AL72" s="368"/>
      <c r="AM72" s="368"/>
      <c r="AN72" s="368"/>
      <c r="AO72" s="368"/>
      <c r="AP72" s="368"/>
      <c r="AQ72" s="368"/>
      <c r="AR72" s="368"/>
      <c r="AS72" s="368"/>
      <c r="AT72" s="368"/>
      <c r="AU72" s="368"/>
      <c r="AV72" s="368"/>
      <c r="AW72" s="368"/>
      <c r="AX72" s="368"/>
      <c r="AY72" s="368"/>
      <c r="AZ72" s="368"/>
      <c r="BA72" s="368"/>
      <c r="BB72" s="368"/>
      <c r="BC72" s="368"/>
      <c r="BD72" s="368"/>
      <c r="BE72" s="368"/>
      <c r="BF72" s="368"/>
      <c r="BG72" s="2"/>
      <c r="BH72" s="2"/>
      <c r="BI72" s="192"/>
    </row>
    <row r="73" spans="1:61" ht="9.9" customHeight="1" x14ac:dyDescent="0.3">
      <c r="A73" s="172"/>
      <c r="B73" s="191"/>
      <c r="C73" s="368"/>
      <c r="D73" s="368"/>
      <c r="E73" s="368"/>
      <c r="F73" s="368"/>
      <c r="G73" s="368"/>
      <c r="H73" s="368"/>
      <c r="I73" s="368"/>
      <c r="J73" s="368"/>
      <c r="K73" s="368"/>
      <c r="L73" s="368"/>
      <c r="M73" s="368"/>
      <c r="N73" s="368"/>
      <c r="O73" s="368"/>
      <c r="P73" s="368"/>
      <c r="Q73" s="368"/>
      <c r="R73" s="368"/>
      <c r="S73" s="368"/>
      <c r="T73" s="368"/>
      <c r="U73" s="368"/>
      <c r="V73" s="368"/>
      <c r="W73" s="368"/>
      <c r="X73" s="368"/>
      <c r="Y73" s="368"/>
      <c r="Z73" s="368"/>
      <c r="AA73" s="368"/>
      <c r="AB73" s="368"/>
      <c r="AC73" s="368"/>
      <c r="AD73" s="368"/>
      <c r="AE73" s="368"/>
      <c r="AF73" s="368"/>
      <c r="AG73" s="368"/>
      <c r="AH73" s="368"/>
      <c r="AI73" s="368"/>
      <c r="AJ73" s="368"/>
      <c r="AK73" s="368"/>
      <c r="AL73" s="368"/>
      <c r="AM73" s="368"/>
      <c r="AN73" s="368"/>
      <c r="AO73" s="368"/>
      <c r="AP73" s="368"/>
      <c r="AQ73" s="368"/>
      <c r="AR73" s="368"/>
      <c r="AS73" s="368"/>
      <c r="AT73" s="368"/>
      <c r="AU73" s="368"/>
      <c r="AV73" s="368"/>
      <c r="AW73" s="368"/>
      <c r="AX73" s="368"/>
      <c r="AY73" s="368"/>
      <c r="AZ73" s="368"/>
      <c r="BA73" s="368"/>
      <c r="BB73" s="368"/>
      <c r="BC73" s="368"/>
      <c r="BD73" s="368"/>
      <c r="BE73" s="368"/>
      <c r="BF73" s="368"/>
      <c r="BG73" s="2"/>
      <c r="BH73" s="2"/>
      <c r="BI73" s="192"/>
    </row>
    <row r="74" spans="1:61" ht="9.9" customHeight="1" thickBot="1" x14ac:dyDescent="0.35">
      <c r="A74" s="172"/>
      <c r="B74" s="194"/>
      <c r="C74" s="226"/>
      <c r="D74" s="226"/>
      <c r="E74" s="226"/>
      <c r="F74" s="226"/>
      <c r="G74" s="226"/>
      <c r="H74" s="226"/>
      <c r="I74" s="226"/>
      <c r="J74" s="226"/>
      <c r="K74" s="226"/>
      <c r="L74" s="226"/>
      <c r="M74" s="226"/>
      <c r="N74" s="226"/>
      <c r="O74" s="226"/>
      <c r="P74" s="226"/>
      <c r="Q74" s="226"/>
      <c r="R74" s="226"/>
      <c r="S74" s="226"/>
      <c r="T74" s="226"/>
      <c r="U74" s="226"/>
      <c r="V74" s="226"/>
      <c r="W74" s="226"/>
      <c r="X74" s="226"/>
      <c r="Y74" s="226"/>
      <c r="Z74" s="226"/>
      <c r="AA74" s="226"/>
      <c r="AB74" s="226"/>
      <c r="AC74" s="226"/>
      <c r="AD74" s="226"/>
      <c r="AE74" s="226"/>
      <c r="AF74" s="195"/>
      <c r="AG74" s="195"/>
      <c r="AH74" s="195"/>
      <c r="AI74" s="195"/>
      <c r="AJ74" s="195"/>
      <c r="AK74" s="195"/>
      <c r="AL74" s="195"/>
      <c r="AM74" s="195"/>
      <c r="AN74" s="195"/>
      <c r="AO74" s="195"/>
      <c r="AP74" s="195"/>
      <c r="AQ74" s="195"/>
      <c r="AR74" s="195"/>
      <c r="AS74" s="195"/>
      <c r="AT74" s="195"/>
      <c r="AU74" s="195"/>
      <c r="AV74" s="195"/>
      <c r="AW74" s="195"/>
      <c r="AX74" s="195"/>
      <c r="AY74" s="195"/>
      <c r="AZ74" s="195"/>
      <c r="BA74" s="195"/>
      <c r="BB74" s="195"/>
      <c r="BC74" s="195"/>
      <c r="BD74" s="195"/>
      <c r="BE74" s="195"/>
      <c r="BF74" s="195"/>
      <c r="BG74" s="195"/>
      <c r="BH74" s="195"/>
      <c r="BI74" s="196"/>
    </row>
    <row r="75" spans="1:61" ht="3" customHeight="1" x14ac:dyDescent="0.3"/>
  </sheetData>
  <sheetProtection algorithmName="SHA-512" hashValue="IVOBnw9f70AyfYIYkSRT4LPtwf/lysbBk4242C/PpN5f6u4irBQ87RaHzTaByTGewICwAcr7ZkCyfh8i42fXuw==" saltValue="T4sCa4chNT0fzVafWM2Tbg==" spinCount="100000" sheet="1" objects="1" scenarios="1" selectLockedCells="1" selectUnlockedCells="1"/>
  <mergeCells count="7">
    <mergeCell ref="C72:BF73"/>
    <mergeCell ref="C65:BF70"/>
    <mergeCell ref="C51:BG62"/>
    <mergeCell ref="C12:BG47"/>
    <mergeCell ref="C10:BF11"/>
    <mergeCell ref="C49:BF50"/>
    <mergeCell ref="C63:BF6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4" tint="0.59999389629810485"/>
  </sheetPr>
  <dimension ref="A1:M32"/>
  <sheetViews>
    <sheetView showGridLines="0" showRowColHeaders="0" zoomScaleNormal="100" workbookViewId="0">
      <selection activeCell="E4" sqref="E4:K4"/>
    </sheetView>
  </sheetViews>
  <sheetFormatPr defaultColWidth="0" defaultRowHeight="14.4" zeroHeight="1" x14ac:dyDescent="0.3"/>
  <cols>
    <col min="1" max="1" width="0.77734375" customWidth="1"/>
    <col min="2" max="12" width="8.88671875" customWidth="1"/>
    <col min="13" max="13" width="0.88671875" customWidth="1"/>
    <col min="14" max="16384" width="8.88671875" hidden="1"/>
  </cols>
  <sheetData>
    <row r="1" spans="2:12" ht="22.8" x14ac:dyDescent="0.4">
      <c r="B1" s="378" t="s">
        <v>436</v>
      </c>
      <c r="C1" s="379"/>
      <c r="D1" s="379"/>
      <c r="E1" s="379"/>
      <c r="F1" s="379"/>
      <c r="G1" s="379"/>
      <c r="H1" s="379"/>
      <c r="I1" s="379"/>
      <c r="J1" s="379"/>
      <c r="K1" s="379"/>
      <c r="L1" s="380"/>
    </row>
    <row r="2" spans="2:12" ht="17.25" customHeight="1" x14ac:dyDescent="0.3">
      <c r="B2" s="381" t="s">
        <v>13</v>
      </c>
      <c r="C2" s="382"/>
      <c r="D2" s="382"/>
      <c r="E2" s="382"/>
      <c r="F2" s="382"/>
      <c r="G2" s="382"/>
      <c r="H2" s="382"/>
      <c r="I2" s="382"/>
      <c r="J2" s="382"/>
      <c r="K2" s="382"/>
      <c r="L2" s="383"/>
    </row>
    <row r="3" spans="2:12" ht="26.4" customHeight="1" thickBot="1" x14ac:dyDescent="0.35">
      <c r="B3" s="191"/>
      <c r="C3" s="2"/>
      <c r="D3" s="2"/>
      <c r="E3" s="2"/>
      <c r="F3" s="2"/>
      <c r="G3" s="2"/>
      <c r="H3" s="2"/>
      <c r="I3" s="2"/>
      <c r="J3" s="2"/>
      <c r="K3" s="2"/>
      <c r="L3" s="192"/>
    </row>
    <row r="4" spans="2:12" ht="26.4" customHeight="1" x14ac:dyDescent="0.3">
      <c r="B4" s="191"/>
      <c r="C4" s="384" t="s">
        <v>7</v>
      </c>
      <c r="D4" s="385"/>
      <c r="E4" s="394"/>
      <c r="F4" s="394"/>
      <c r="G4" s="394"/>
      <c r="H4" s="394"/>
      <c r="I4" s="394"/>
      <c r="J4" s="394"/>
      <c r="K4" s="395"/>
      <c r="L4" s="192"/>
    </row>
    <row r="5" spans="2:12" ht="26.4" customHeight="1" x14ac:dyDescent="0.3">
      <c r="B5" s="191"/>
      <c r="C5" s="386" t="s">
        <v>14</v>
      </c>
      <c r="D5" s="387"/>
      <c r="E5" s="396"/>
      <c r="F5" s="396"/>
      <c r="G5" s="396"/>
      <c r="H5" s="396"/>
      <c r="I5" s="396"/>
      <c r="J5" s="396"/>
      <c r="K5" s="397"/>
      <c r="L5" s="192"/>
    </row>
    <row r="6" spans="2:12" ht="26.4" customHeight="1" x14ac:dyDescent="0.3">
      <c r="B6" s="191"/>
      <c r="C6" s="386" t="s">
        <v>15</v>
      </c>
      <c r="D6" s="387"/>
      <c r="E6" s="396"/>
      <c r="F6" s="396"/>
      <c r="G6" s="396"/>
      <c r="H6" s="396"/>
      <c r="I6" s="396"/>
      <c r="J6" s="396"/>
      <c r="K6" s="397"/>
      <c r="L6" s="192"/>
    </row>
    <row r="7" spans="2:12" ht="26.4" customHeight="1" x14ac:dyDescent="0.3">
      <c r="B7" s="191"/>
      <c r="C7" s="386" t="s">
        <v>8</v>
      </c>
      <c r="D7" s="387"/>
      <c r="E7" s="396"/>
      <c r="F7" s="396"/>
      <c r="G7" s="396"/>
      <c r="H7" s="396"/>
      <c r="I7" s="396"/>
      <c r="J7" s="396"/>
      <c r="K7" s="397"/>
      <c r="L7" s="192"/>
    </row>
    <row r="8" spans="2:12" ht="26.4" customHeight="1" x14ac:dyDescent="0.3">
      <c r="B8" s="191"/>
      <c r="C8" s="386" t="s">
        <v>9</v>
      </c>
      <c r="D8" s="387"/>
      <c r="E8" s="396"/>
      <c r="F8" s="396"/>
      <c r="G8" s="396"/>
      <c r="H8" s="396"/>
      <c r="I8" s="396"/>
      <c r="J8" s="396"/>
      <c r="K8" s="397"/>
      <c r="L8" s="192"/>
    </row>
    <row r="9" spans="2:12" ht="26.4" customHeight="1" x14ac:dyDescent="0.3">
      <c r="B9" s="191"/>
      <c r="C9" s="386" t="s">
        <v>10</v>
      </c>
      <c r="D9" s="387"/>
      <c r="E9" s="396"/>
      <c r="F9" s="396"/>
      <c r="G9" s="396"/>
      <c r="H9" s="396"/>
      <c r="I9" s="396"/>
      <c r="J9" s="396"/>
      <c r="K9" s="397"/>
      <c r="L9" s="192"/>
    </row>
    <row r="10" spans="2:12" ht="26.4" customHeight="1" x14ac:dyDescent="0.3">
      <c r="B10" s="191"/>
      <c r="C10" s="386" t="s">
        <v>11</v>
      </c>
      <c r="D10" s="387"/>
      <c r="E10" s="398"/>
      <c r="F10" s="398"/>
      <c r="G10" s="398"/>
      <c r="H10" s="398"/>
      <c r="I10" s="398"/>
      <c r="J10" s="398"/>
      <c r="K10" s="399"/>
      <c r="L10" s="192"/>
    </row>
    <row r="11" spans="2:12" ht="26.4" customHeight="1" x14ac:dyDescent="0.3">
      <c r="B11" s="191"/>
      <c r="C11" s="386" t="s">
        <v>12</v>
      </c>
      <c r="D11" s="387"/>
      <c r="E11" s="396"/>
      <c r="F11" s="396"/>
      <c r="G11" s="396"/>
      <c r="H11" s="396"/>
      <c r="I11" s="396"/>
      <c r="J11" s="396"/>
      <c r="K11" s="397"/>
      <c r="L11" s="192"/>
    </row>
    <row r="12" spans="2:12" ht="26.4" customHeight="1" x14ac:dyDescent="0.3">
      <c r="B12" s="191"/>
      <c r="C12" s="388" t="s">
        <v>156</v>
      </c>
      <c r="D12" s="389"/>
      <c r="E12" s="177"/>
      <c r="F12" s="182"/>
      <c r="G12" s="183"/>
      <c r="H12" s="183"/>
      <c r="I12" s="183"/>
      <c r="J12" s="183"/>
      <c r="K12" s="185"/>
      <c r="L12" s="192"/>
    </row>
    <row r="13" spans="2:12" ht="26.4" customHeight="1" x14ac:dyDescent="0.3">
      <c r="B13" s="191"/>
      <c r="C13" s="390"/>
      <c r="D13" s="391"/>
      <c r="E13" s="178"/>
      <c r="F13" s="179"/>
      <c r="G13" s="184"/>
      <c r="H13" s="184"/>
      <c r="I13" s="184"/>
      <c r="J13" s="184"/>
      <c r="K13" s="186"/>
      <c r="L13" s="192"/>
    </row>
    <row r="14" spans="2:12" ht="26.4" customHeight="1" thickBot="1" x14ac:dyDescent="0.35">
      <c r="B14" s="191"/>
      <c r="C14" s="392"/>
      <c r="D14" s="393"/>
      <c r="E14" s="187"/>
      <c r="F14" s="188"/>
      <c r="G14" s="189"/>
      <c r="H14" s="189"/>
      <c r="I14" s="189"/>
      <c r="J14" s="189"/>
      <c r="K14" s="190"/>
      <c r="L14" s="192"/>
    </row>
    <row r="15" spans="2:12" x14ac:dyDescent="0.3">
      <c r="B15" s="191"/>
      <c r="C15" s="180"/>
      <c r="D15" s="3"/>
      <c r="E15" s="181"/>
      <c r="F15" s="181"/>
      <c r="G15" s="3"/>
      <c r="H15" s="3"/>
      <c r="I15" s="3"/>
      <c r="J15" s="3"/>
      <c r="K15" s="2"/>
      <c r="L15" s="192"/>
    </row>
    <row r="16" spans="2:12" x14ac:dyDescent="0.3">
      <c r="B16" s="191"/>
      <c r="C16" s="180"/>
      <c r="D16" s="3"/>
      <c r="E16" s="181"/>
      <c r="F16" s="181"/>
      <c r="G16" s="3"/>
      <c r="H16" s="3"/>
      <c r="I16" s="3"/>
      <c r="J16" s="3"/>
      <c r="K16" s="2"/>
      <c r="L16" s="192"/>
    </row>
    <row r="17" spans="2:12" x14ac:dyDescent="0.3">
      <c r="B17" s="191"/>
      <c r="C17" s="180"/>
      <c r="D17" s="3"/>
      <c r="E17" s="181"/>
      <c r="F17" s="181"/>
      <c r="G17" s="3"/>
      <c r="H17" s="3"/>
      <c r="I17" s="3"/>
      <c r="J17" s="3"/>
      <c r="K17" s="2"/>
      <c r="L17" s="192"/>
    </row>
    <row r="18" spans="2:12" x14ac:dyDescent="0.3">
      <c r="B18" s="191"/>
      <c r="C18" s="180"/>
      <c r="D18" s="3"/>
      <c r="E18" s="181"/>
      <c r="F18" s="181"/>
      <c r="G18" s="3"/>
      <c r="H18" s="3"/>
      <c r="I18" s="3"/>
      <c r="J18" s="3"/>
      <c r="K18" s="2"/>
      <c r="L18" s="192"/>
    </row>
    <row r="19" spans="2:12" x14ac:dyDescent="0.3">
      <c r="B19" s="191"/>
      <c r="C19" s="2"/>
      <c r="D19" s="2"/>
      <c r="E19" s="2"/>
      <c r="F19" s="2"/>
      <c r="G19" s="2"/>
      <c r="H19" s="2"/>
      <c r="I19" s="2"/>
      <c r="J19" s="2"/>
      <c r="K19" s="2"/>
      <c r="L19" s="192"/>
    </row>
    <row r="20" spans="2:12" x14ac:dyDescent="0.3">
      <c r="B20" s="191"/>
      <c r="C20" s="2"/>
      <c r="D20" s="2"/>
      <c r="E20" s="2"/>
      <c r="F20" s="2"/>
      <c r="G20" s="2"/>
      <c r="H20" s="2"/>
      <c r="I20" s="2"/>
      <c r="J20" s="2"/>
      <c r="K20" s="2"/>
      <c r="L20" s="192"/>
    </row>
    <row r="21" spans="2:12" x14ac:dyDescent="0.3">
      <c r="B21" s="191"/>
      <c r="C21" s="2"/>
      <c r="D21" s="2"/>
      <c r="E21" s="2"/>
      <c r="F21" s="2"/>
      <c r="G21" s="2"/>
      <c r="H21" s="2"/>
      <c r="I21" s="2"/>
      <c r="J21" s="2"/>
      <c r="K21" s="2"/>
      <c r="L21" s="192"/>
    </row>
    <row r="22" spans="2:12" x14ac:dyDescent="0.3">
      <c r="B22" s="191"/>
      <c r="C22" s="2"/>
      <c r="D22" s="2"/>
      <c r="E22" s="2"/>
      <c r="F22" s="2"/>
      <c r="G22" s="2"/>
      <c r="H22" s="2"/>
      <c r="I22" s="2"/>
      <c r="J22" s="2"/>
      <c r="K22" s="2"/>
      <c r="L22" s="192"/>
    </row>
    <row r="23" spans="2:12" x14ac:dyDescent="0.3">
      <c r="B23" s="191"/>
      <c r="C23" s="2"/>
      <c r="D23" s="2"/>
      <c r="E23" s="2"/>
      <c r="F23" s="2"/>
      <c r="G23" s="2"/>
      <c r="H23" s="2"/>
      <c r="I23" s="2"/>
      <c r="J23" s="2"/>
      <c r="K23" s="2"/>
      <c r="L23" s="192"/>
    </row>
    <row r="24" spans="2:12" x14ac:dyDescent="0.3">
      <c r="B24" s="191"/>
      <c r="C24" s="2"/>
      <c r="D24" s="2"/>
      <c r="E24" s="2"/>
      <c r="F24" s="2"/>
      <c r="G24" s="2"/>
      <c r="H24" s="2"/>
      <c r="I24" s="2"/>
      <c r="J24" s="2"/>
      <c r="K24" s="2"/>
      <c r="L24" s="192"/>
    </row>
    <row r="25" spans="2:12" x14ac:dyDescent="0.3">
      <c r="B25" s="191"/>
      <c r="C25" s="2"/>
      <c r="D25" s="2"/>
      <c r="E25" s="2"/>
      <c r="F25" s="2"/>
      <c r="G25" s="2"/>
      <c r="H25" s="2"/>
      <c r="I25" s="2"/>
      <c r="J25" s="2"/>
      <c r="K25" s="2"/>
      <c r="L25" s="192"/>
    </row>
    <row r="26" spans="2:12" x14ac:dyDescent="0.3">
      <c r="B26" s="191"/>
      <c r="C26" s="2"/>
      <c r="D26" s="2"/>
      <c r="E26" s="2"/>
      <c r="F26" s="2"/>
      <c r="G26" s="2"/>
      <c r="H26" s="2"/>
      <c r="I26" s="2"/>
      <c r="J26" s="2"/>
      <c r="K26" s="2"/>
      <c r="L26" s="192"/>
    </row>
    <row r="27" spans="2:12" x14ac:dyDescent="0.3">
      <c r="B27" s="193"/>
      <c r="C27" s="2"/>
      <c r="D27" s="2"/>
      <c r="E27" s="2"/>
      <c r="F27" s="2"/>
      <c r="G27" s="2"/>
      <c r="H27" s="2"/>
      <c r="I27" s="2"/>
      <c r="J27" s="2"/>
      <c r="K27" s="2"/>
      <c r="L27" s="192"/>
    </row>
    <row r="28" spans="2:12" x14ac:dyDescent="0.3">
      <c r="B28" s="191"/>
      <c r="C28" s="2"/>
      <c r="D28" s="2"/>
      <c r="E28" s="2"/>
      <c r="F28" s="2"/>
      <c r="G28" s="2"/>
      <c r="H28" s="2"/>
      <c r="I28" s="2"/>
      <c r="J28" s="2"/>
      <c r="K28" s="2"/>
      <c r="L28" s="192"/>
    </row>
    <row r="29" spans="2:12" x14ac:dyDescent="0.3">
      <c r="B29" s="191"/>
      <c r="C29" s="2"/>
      <c r="D29" s="2"/>
      <c r="E29" s="2"/>
      <c r="F29" s="2"/>
      <c r="G29" s="2"/>
      <c r="H29" s="2"/>
      <c r="I29" s="2"/>
      <c r="J29" s="2"/>
      <c r="K29" s="2"/>
      <c r="L29" s="192"/>
    </row>
    <row r="30" spans="2:12" x14ac:dyDescent="0.3">
      <c r="B30" s="191"/>
      <c r="C30" s="2"/>
      <c r="D30" s="2"/>
      <c r="E30" s="2"/>
      <c r="F30" s="2"/>
      <c r="G30" s="2"/>
      <c r="H30" s="2"/>
      <c r="I30" s="2"/>
      <c r="J30" s="2"/>
      <c r="K30" s="2"/>
      <c r="L30" s="192"/>
    </row>
    <row r="31" spans="2:12" ht="15" thickBot="1" x14ac:dyDescent="0.35">
      <c r="B31" s="194"/>
      <c r="C31" s="195"/>
      <c r="D31" s="195"/>
      <c r="E31" s="195"/>
      <c r="F31" s="195"/>
      <c r="G31" s="195"/>
      <c r="H31" s="195"/>
      <c r="I31" s="195"/>
      <c r="J31" s="195"/>
      <c r="K31" s="195"/>
      <c r="L31" s="196"/>
    </row>
    <row r="32" spans="2:12" ht="4.2" customHeight="1" x14ac:dyDescent="0.3"/>
  </sheetData>
  <sheetProtection algorithmName="SHA-512" hashValue="SAZQ57jdbHjJPK8Zx1sHFSDRKv2o3mnIAJcT0clZQn8fxDsBO05GZXI02aMGlaW/20LdvhRjIkwuAlRSPQRV3g==" saltValue="Y4b7aF8V1nm82u8I8joBAw==" spinCount="100000" sheet="1" objects="1" scenarios="1"/>
  <mergeCells count="19">
    <mergeCell ref="C12:D14"/>
    <mergeCell ref="E4:K4"/>
    <mergeCell ref="E5:K5"/>
    <mergeCell ref="E6:K6"/>
    <mergeCell ref="E7:K7"/>
    <mergeCell ref="E8:K8"/>
    <mergeCell ref="E9:K9"/>
    <mergeCell ref="E10:K10"/>
    <mergeCell ref="E11:K11"/>
    <mergeCell ref="C7:D7"/>
    <mergeCell ref="C8:D8"/>
    <mergeCell ref="C9:D9"/>
    <mergeCell ref="C10:D10"/>
    <mergeCell ref="C11:D11"/>
    <mergeCell ref="B1:L1"/>
    <mergeCell ref="B2:L2"/>
    <mergeCell ref="C4:D4"/>
    <mergeCell ref="C5:D5"/>
    <mergeCell ref="C6:D6"/>
  </mergeCells>
  <pageMargins left="0.7" right="0.7" top="0.75" bottom="0.75" header="0.3" footer="0.3"/>
  <pageSetup orientation="portrait" r:id="rId1"/>
  <drawing r:id="rId2"/>
  <legacyDrawing r:id="rId3"/>
  <controls>
    <mc:AlternateContent xmlns:mc="http://schemas.openxmlformats.org/markup-compatibility/2006">
      <mc:Choice Requires="x14">
        <control shapeId="1026" r:id="rId4" name="ResetToolButton">
          <controlPr defaultSize="0" autoLine="0" autoPict="0" r:id="rId5">
            <anchor moveWithCells="1">
              <from>
                <xdr:col>7</xdr:col>
                <xdr:colOff>388620</xdr:colOff>
                <xdr:row>11</xdr:row>
                <xdr:rowOff>205740</xdr:rowOff>
              </from>
              <to>
                <xdr:col>10</xdr:col>
                <xdr:colOff>464820</xdr:colOff>
                <xdr:row>13</xdr:row>
                <xdr:rowOff>99060</xdr:rowOff>
              </to>
            </anchor>
          </controlPr>
        </control>
      </mc:Choice>
      <mc:Fallback>
        <control shapeId="1026" r:id="rId4" name="ResetToolButton"/>
      </mc:Fallback>
    </mc:AlternateContent>
    <mc:AlternateContent xmlns:mc="http://schemas.openxmlformats.org/markup-compatibility/2006">
      <mc:Choice Requires="x14">
        <control shapeId="1027" r:id="rId6" name="LoadCapXButton1">
          <controlPr defaultSize="0" autoLine="0" r:id="rId7">
            <anchor moveWithCells="1">
              <from>
                <xdr:col>4</xdr:col>
                <xdr:colOff>106680</xdr:colOff>
                <xdr:row>11</xdr:row>
                <xdr:rowOff>198120</xdr:rowOff>
              </from>
              <to>
                <xdr:col>7</xdr:col>
                <xdr:colOff>281940</xdr:colOff>
                <xdr:row>13</xdr:row>
                <xdr:rowOff>91440</xdr:rowOff>
              </to>
            </anchor>
          </controlPr>
        </control>
      </mc:Choice>
      <mc:Fallback>
        <control shapeId="1027" r:id="rId6" name="LoadCapX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6">
    <tabColor theme="4" tint="0.59999389629810485"/>
  </sheetPr>
  <dimension ref="A1:S58"/>
  <sheetViews>
    <sheetView showGridLines="0" showRowColHeaders="0" zoomScaleNormal="100" workbookViewId="0">
      <selection activeCell="C12" sqref="C12"/>
    </sheetView>
  </sheetViews>
  <sheetFormatPr defaultColWidth="8.88671875" defaultRowHeight="14.4" x14ac:dyDescent="0.3"/>
  <cols>
    <col min="1" max="1" width="46" style="65" customWidth="1"/>
    <col min="2" max="2" width="9.6640625" style="80" bestFit="1" customWidth="1"/>
    <col min="3" max="3" width="93.109375" style="65" customWidth="1"/>
    <col min="4" max="4" width="16.88671875" style="65" customWidth="1"/>
    <col min="5" max="5" width="12.6640625" style="65" bestFit="1" customWidth="1"/>
    <col min="6" max="6" width="13" style="65" bestFit="1" customWidth="1"/>
    <col min="7" max="8" width="8.88671875" style="65"/>
    <col min="9" max="9" width="23.5546875" style="65" customWidth="1"/>
    <col min="10" max="13" width="10.6640625" style="65" customWidth="1"/>
    <col min="14" max="14" width="8.88671875" style="65"/>
    <col min="15" max="15" width="16.44140625" style="65" customWidth="1"/>
    <col min="16" max="16384" width="8.88671875" style="65"/>
  </cols>
  <sheetData>
    <row r="1" spans="1:19" ht="34.200000000000003" customHeight="1" x14ac:dyDescent="0.3">
      <c r="A1" s="413" t="s">
        <v>436</v>
      </c>
      <c r="B1" s="414"/>
      <c r="C1" s="414"/>
      <c r="D1" s="414"/>
      <c r="E1" s="414"/>
      <c r="F1" s="415"/>
      <c r="I1" s="400" t="s">
        <v>355</v>
      </c>
      <c r="J1" s="400"/>
      <c r="K1" s="400"/>
      <c r="L1" s="400"/>
      <c r="M1" s="400"/>
      <c r="O1" s="400" t="s">
        <v>485</v>
      </c>
      <c r="P1" s="400"/>
      <c r="Q1" s="400"/>
      <c r="R1" s="400"/>
      <c r="S1" s="400"/>
    </row>
    <row r="2" spans="1:19" ht="15" customHeight="1" thickBot="1" x14ac:dyDescent="0.35">
      <c r="A2" s="416" t="s">
        <v>358</v>
      </c>
      <c r="B2" s="416"/>
      <c r="C2" s="416"/>
      <c r="D2" s="416"/>
      <c r="E2" s="416"/>
      <c r="F2" s="417"/>
      <c r="I2" s="401" t="s">
        <v>351</v>
      </c>
      <c r="J2" s="401"/>
      <c r="K2" s="401"/>
      <c r="L2" s="401"/>
      <c r="M2" s="401"/>
      <c r="O2" s="311" t="s">
        <v>106</v>
      </c>
      <c r="P2" s="401" t="s">
        <v>278</v>
      </c>
      <c r="Q2" s="401"/>
      <c r="R2" s="401" t="s">
        <v>279</v>
      </c>
      <c r="S2" s="401"/>
    </row>
    <row r="3" spans="1:19" ht="15" thickTop="1" x14ac:dyDescent="0.3">
      <c r="A3" s="429" t="s">
        <v>322</v>
      </c>
      <c r="B3" s="426" t="s">
        <v>323</v>
      </c>
      <c r="C3" s="426" t="s">
        <v>324</v>
      </c>
      <c r="D3" s="426" t="s">
        <v>325</v>
      </c>
      <c r="E3" s="426"/>
      <c r="F3" s="427"/>
      <c r="I3" s="424" t="s">
        <v>106</v>
      </c>
      <c r="J3" s="401" t="s">
        <v>278</v>
      </c>
      <c r="K3" s="401"/>
      <c r="L3" s="401" t="s">
        <v>279</v>
      </c>
      <c r="M3" s="401"/>
      <c r="O3" s="309" t="s">
        <v>418</v>
      </c>
      <c r="P3" s="309" t="s">
        <v>276</v>
      </c>
      <c r="Q3" s="309" t="s">
        <v>277</v>
      </c>
      <c r="R3" s="309" t="s">
        <v>276</v>
      </c>
      <c r="S3" s="309" t="s">
        <v>277</v>
      </c>
    </row>
    <row r="4" spans="1:19" ht="15" thickBot="1" x14ac:dyDescent="0.35">
      <c r="A4" s="430"/>
      <c r="B4" s="431"/>
      <c r="C4" s="431"/>
      <c r="D4" s="306" t="s">
        <v>326</v>
      </c>
      <c r="E4" s="307" t="s">
        <v>327</v>
      </c>
      <c r="F4" s="308" t="s">
        <v>328</v>
      </c>
      <c r="I4" s="425"/>
      <c r="J4" s="309" t="s">
        <v>276</v>
      </c>
      <c r="K4" s="309" t="s">
        <v>277</v>
      </c>
      <c r="L4" s="309" t="s">
        <v>276</v>
      </c>
      <c r="M4" s="309" t="s">
        <v>277</v>
      </c>
      <c r="O4" s="48" t="s">
        <v>416</v>
      </c>
      <c r="P4" s="85">
        <v>675</v>
      </c>
      <c r="Q4" s="85">
        <v>17369</v>
      </c>
      <c r="R4" s="85">
        <v>409</v>
      </c>
      <c r="S4" s="85">
        <v>14000</v>
      </c>
    </row>
    <row r="5" spans="1:19" x14ac:dyDescent="0.3">
      <c r="A5" s="418" t="s">
        <v>272</v>
      </c>
      <c r="B5" s="419"/>
      <c r="C5" s="419"/>
      <c r="D5" s="419"/>
      <c r="E5" s="419"/>
      <c r="F5" s="420"/>
      <c r="I5" s="48" t="s">
        <v>273</v>
      </c>
      <c r="J5" s="85">
        <v>0</v>
      </c>
      <c r="K5" s="85">
        <v>19500</v>
      </c>
      <c r="L5" s="85">
        <v>0</v>
      </c>
      <c r="M5" s="85">
        <v>4300</v>
      </c>
      <c r="O5" s="32" t="s">
        <v>417</v>
      </c>
      <c r="P5" s="86">
        <v>1000</v>
      </c>
      <c r="Q5" s="86">
        <v>19733</v>
      </c>
      <c r="R5" s="86">
        <v>280</v>
      </c>
      <c r="S5" s="86">
        <v>11239</v>
      </c>
    </row>
    <row r="6" spans="1:19" ht="15" thickBot="1" x14ac:dyDescent="0.35">
      <c r="A6" s="66" t="s">
        <v>329</v>
      </c>
      <c r="B6" s="67" t="s">
        <v>330</v>
      </c>
      <c r="C6" s="102" t="s">
        <v>459</v>
      </c>
      <c r="D6" s="67" t="s">
        <v>46</v>
      </c>
      <c r="E6" s="67" t="s">
        <v>46</v>
      </c>
      <c r="F6" s="68" t="s">
        <v>46</v>
      </c>
      <c r="I6" s="32" t="s">
        <v>274</v>
      </c>
      <c r="J6" s="86">
        <v>0</v>
      </c>
      <c r="K6" s="86">
        <v>14700</v>
      </c>
      <c r="L6" s="86">
        <v>0</v>
      </c>
      <c r="M6" s="86">
        <v>3500</v>
      </c>
      <c r="O6" s="309" t="s">
        <v>419</v>
      </c>
      <c r="P6" s="309" t="s">
        <v>276</v>
      </c>
      <c r="Q6" s="309" t="s">
        <v>277</v>
      </c>
      <c r="R6" s="309" t="s">
        <v>276</v>
      </c>
      <c r="S6" s="309" t="s">
        <v>277</v>
      </c>
    </row>
    <row r="7" spans="1:19" x14ac:dyDescent="0.3">
      <c r="A7" s="418" t="s">
        <v>105</v>
      </c>
      <c r="B7" s="419"/>
      <c r="C7" s="419"/>
      <c r="D7" s="419"/>
      <c r="E7" s="419"/>
      <c r="F7" s="420"/>
      <c r="I7" s="48" t="s">
        <v>275</v>
      </c>
      <c r="J7" s="85">
        <v>0</v>
      </c>
      <c r="K7" s="85">
        <v>23591</v>
      </c>
      <c r="L7" s="85">
        <v>0</v>
      </c>
      <c r="M7" s="85">
        <v>23320</v>
      </c>
      <c r="O7" s="48" t="s">
        <v>416</v>
      </c>
      <c r="P7" s="85">
        <v>1000</v>
      </c>
      <c r="Q7" s="85">
        <v>22050</v>
      </c>
      <c r="R7" s="85">
        <v>476</v>
      </c>
      <c r="S7" s="85">
        <v>15108</v>
      </c>
    </row>
    <row r="8" spans="1:19" ht="30" customHeight="1" x14ac:dyDescent="0.3">
      <c r="A8" s="69" t="s">
        <v>347</v>
      </c>
      <c r="B8" s="53" t="s">
        <v>337</v>
      </c>
      <c r="C8" s="107" t="s">
        <v>348</v>
      </c>
      <c r="D8" s="407" t="s">
        <v>483</v>
      </c>
      <c r="E8" s="408"/>
      <c r="F8" s="409"/>
      <c r="I8" s="32" t="s">
        <v>280</v>
      </c>
      <c r="J8" s="86">
        <v>0</v>
      </c>
      <c r="K8" s="86">
        <v>25200</v>
      </c>
      <c r="L8" s="86">
        <v>0</v>
      </c>
      <c r="M8" s="86">
        <v>12500</v>
      </c>
      <c r="O8" s="32" t="s">
        <v>417</v>
      </c>
      <c r="P8" s="86">
        <v>1000</v>
      </c>
      <c r="Q8" s="86">
        <v>28333</v>
      </c>
      <c r="R8" s="86">
        <v>390</v>
      </c>
      <c r="S8" s="86">
        <v>19371</v>
      </c>
    </row>
    <row r="9" spans="1:19" ht="30" customHeight="1" x14ac:dyDescent="0.3">
      <c r="A9" s="71" t="s">
        <v>40</v>
      </c>
      <c r="B9" s="72" t="s">
        <v>331</v>
      </c>
      <c r="C9" s="104" t="s">
        <v>394</v>
      </c>
      <c r="D9" s="72" t="s">
        <v>46</v>
      </c>
      <c r="E9" s="72" t="s">
        <v>46</v>
      </c>
      <c r="F9" s="73" t="s">
        <v>46</v>
      </c>
      <c r="I9" s="48" t="s">
        <v>427</v>
      </c>
      <c r="J9" s="163" t="s">
        <v>46</v>
      </c>
      <c r="K9" s="163" t="s">
        <v>46</v>
      </c>
      <c r="L9" s="163" t="s">
        <v>46</v>
      </c>
      <c r="M9" s="163" t="s">
        <v>46</v>
      </c>
    </row>
    <row r="10" spans="1:19" x14ac:dyDescent="0.3">
      <c r="A10" s="81" t="s">
        <v>270</v>
      </c>
      <c r="B10" s="82" t="s">
        <v>330</v>
      </c>
      <c r="C10" s="83" t="s">
        <v>332</v>
      </c>
      <c r="D10" s="82" t="s">
        <v>46</v>
      </c>
      <c r="E10" s="82" t="s">
        <v>46</v>
      </c>
      <c r="F10" s="84" t="s">
        <v>46</v>
      </c>
      <c r="I10" s="32" t="s">
        <v>428</v>
      </c>
      <c r="J10" s="86">
        <v>0</v>
      </c>
      <c r="K10" s="86">
        <v>12983</v>
      </c>
      <c r="L10" s="86">
        <v>0</v>
      </c>
      <c r="M10" s="86">
        <v>9985</v>
      </c>
    </row>
    <row r="11" spans="1:19" x14ac:dyDescent="0.3">
      <c r="A11" s="71" t="s">
        <v>271</v>
      </c>
      <c r="B11" s="132" t="s">
        <v>330</v>
      </c>
      <c r="C11" s="133" t="s">
        <v>333</v>
      </c>
      <c r="D11" s="132" t="s">
        <v>46</v>
      </c>
      <c r="E11" s="132" t="s">
        <v>46</v>
      </c>
      <c r="F11" s="73" t="s">
        <v>46</v>
      </c>
      <c r="I11" s="421" t="s">
        <v>352</v>
      </c>
      <c r="J11" s="422"/>
      <c r="K11" s="422"/>
      <c r="L11" s="422"/>
      <c r="M11" s="423"/>
    </row>
    <row r="12" spans="1:19" s="135" customFormat="1" x14ac:dyDescent="0.3">
      <c r="A12" s="142" t="s">
        <v>420</v>
      </c>
      <c r="B12" s="143" t="s">
        <v>344</v>
      </c>
      <c r="C12" s="144"/>
      <c r="D12" s="82" t="s">
        <v>30</v>
      </c>
      <c r="E12" s="82">
        <v>90</v>
      </c>
      <c r="F12" s="84">
        <v>160</v>
      </c>
      <c r="I12" s="424" t="s">
        <v>106</v>
      </c>
      <c r="J12" s="401" t="s">
        <v>278</v>
      </c>
      <c r="K12" s="401"/>
      <c r="L12" s="401" t="s">
        <v>279</v>
      </c>
      <c r="M12" s="401"/>
    </row>
    <row r="13" spans="1:19" s="135" customFormat="1" x14ac:dyDescent="0.3">
      <c r="A13" s="71" t="s">
        <v>409</v>
      </c>
      <c r="B13" s="132" t="s">
        <v>337</v>
      </c>
      <c r="C13" s="131"/>
      <c r="D13" s="132" t="s">
        <v>30</v>
      </c>
      <c r="E13" s="402" t="s">
        <v>484</v>
      </c>
      <c r="F13" s="403"/>
      <c r="I13" s="425"/>
      <c r="J13" s="309" t="s">
        <v>276</v>
      </c>
      <c r="K13" s="309" t="s">
        <v>277</v>
      </c>
      <c r="L13" s="309" t="s">
        <v>276</v>
      </c>
      <c r="M13" s="309" t="s">
        <v>277</v>
      </c>
    </row>
    <row r="14" spans="1:19" s="135" customFormat="1" x14ac:dyDescent="0.3">
      <c r="A14" s="69" t="s">
        <v>406</v>
      </c>
      <c r="B14" s="134" t="s">
        <v>373</v>
      </c>
      <c r="C14" s="107"/>
      <c r="D14" s="82" t="s">
        <v>30</v>
      </c>
      <c r="E14" s="82" t="s">
        <v>46</v>
      </c>
      <c r="F14" s="82" t="s">
        <v>46</v>
      </c>
      <c r="I14" s="48" t="s">
        <v>273</v>
      </c>
      <c r="J14" s="85">
        <v>0</v>
      </c>
      <c r="K14" s="85">
        <v>78300</v>
      </c>
      <c r="L14" s="85">
        <v>0</v>
      </c>
      <c r="M14" s="85">
        <v>23000</v>
      </c>
    </row>
    <row r="15" spans="1:19" s="135" customFormat="1" x14ac:dyDescent="0.3">
      <c r="A15" s="71" t="s">
        <v>454</v>
      </c>
      <c r="B15" s="132" t="s">
        <v>46</v>
      </c>
      <c r="C15" s="131"/>
      <c r="D15" s="132" t="s">
        <v>30</v>
      </c>
      <c r="E15" s="132">
        <v>0</v>
      </c>
      <c r="F15" s="73">
        <v>8</v>
      </c>
      <c r="I15" s="32" t="s">
        <v>274</v>
      </c>
      <c r="J15" s="86">
        <v>0</v>
      </c>
      <c r="K15" s="86">
        <v>78300</v>
      </c>
      <c r="L15" s="86">
        <v>0</v>
      </c>
      <c r="M15" s="86">
        <v>7400</v>
      </c>
    </row>
    <row r="16" spans="1:19" s="135" customFormat="1" x14ac:dyDescent="0.3">
      <c r="A16" s="69" t="s">
        <v>421</v>
      </c>
      <c r="B16" s="134" t="s">
        <v>344</v>
      </c>
      <c r="C16" s="107"/>
      <c r="D16" s="82" t="s">
        <v>30</v>
      </c>
      <c r="E16" s="82">
        <v>24</v>
      </c>
      <c r="F16" s="84">
        <v>34</v>
      </c>
      <c r="I16" s="48" t="s">
        <v>275</v>
      </c>
      <c r="J16" s="85">
        <v>0</v>
      </c>
      <c r="K16" s="85">
        <v>56000</v>
      </c>
      <c r="L16" s="85">
        <v>0</v>
      </c>
      <c r="M16" s="85">
        <v>27000</v>
      </c>
    </row>
    <row r="17" spans="1:13" s="135" customFormat="1" x14ac:dyDescent="0.3">
      <c r="A17" s="71" t="s">
        <v>423</v>
      </c>
      <c r="B17" s="132" t="s">
        <v>330</v>
      </c>
      <c r="C17" s="131"/>
      <c r="D17" s="132" t="s">
        <v>30</v>
      </c>
      <c r="E17" s="132">
        <v>1</v>
      </c>
      <c r="F17" s="73">
        <v>2</v>
      </c>
      <c r="I17" s="32" t="s">
        <v>280</v>
      </c>
      <c r="J17" s="86">
        <v>0</v>
      </c>
      <c r="K17" s="86">
        <v>43500</v>
      </c>
      <c r="L17" s="86">
        <v>0</v>
      </c>
      <c r="M17" s="86">
        <v>18500</v>
      </c>
    </row>
    <row r="18" spans="1:13" s="135" customFormat="1" x14ac:dyDescent="0.3">
      <c r="A18" s="69" t="s">
        <v>422</v>
      </c>
      <c r="B18" s="134" t="s">
        <v>330</v>
      </c>
      <c r="C18" s="107"/>
      <c r="D18" s="82" t="s">
        <v>30</v>
      </c>
      <c r="E18" s="82">
        <v>1</v>
      </c>
      <c r="F18" s="84">
        <v>2</v>
      </c>
      <c r="I18" s="48" t="s">
        <v>427</v>
      </c>
      <c r="J18" s="163" t="s">
        <v>46</v>
      </c>
      <c r="K18" s="163" t="s">
        <v>46</v>
      </c>
      <c r="L18" s="163" t="s">
        <v>46</v>
      </c>
      <c r="M18" s="163" t="s">
        <v>46</v>
      </c>
    </row>
    <row r="19" spans="1:13" s="135" customFormat="1" x14ac:dyDescent="0.3">
      <c r="A19" s="71"/>
      <c r="B19" s="132"/>
      <c r="C19" s="131"/>
      <c r="D19" s="132"/>
      <c r="E19" s="132"/>
      <c r="F19" s="73"/>
      <c r="I19" s="32" t="s">
        <v>428</v>
      </c>
      <c r="J19" s="164" t="s">
        <v>46</v>
      </c>
      <c r="K19" s="164" t="s">
        <v>46</v>
      </c>
      <c r="L19" s="164" t="s">
        <v>46</v>
      </c>
      <c r="M19" s="164" t="s">
        <v>46</v>
      </c>
    </row>
    <row r="20" spans="1:13" s="135" customFormat="1" ht="15" thickBot="1" x14ac:dyDescent="0.35">
      <c r="A20" s="69"/>
      <c r="B20" s="134"/>
      <c r="C20" s="107"/>
      <c r="D20" s="82"/>
      <c r="E20" s="82"/>
      <c r="F20" s="84"/>
      <c r="I20" s="401" t="s">
        <v>350</v>
      </c>
      <c r="J20" s="401"/>
      <c r="K20" s="401"/>
      <c r="L20" s="401"/>
      <c r="M20" s="401"/>
    </row>
    <row r="21" spans="1:13" x14ac:dyDescent="0.3">
      <c r="A21" s="418" t="s">
        <v>334</v>
      </c>
      <c r="B21" s="419"/>
      <c r="C21" s="419"/>
      <c r="D21" s="419"/>
      <c r="E21" s="419"/>
      <c r="F21" s="420"/>
      <c r="I21" s="310" t="s">
        <v>106</v>
      </c>
      <c r="J21" s="401" t="s">
        <v>278</v>
      </c>
      <c r="K21" s="401"/>
      <c r="L21" s="401" t="s">
        <v>279</v>
      </c>
      <c r="M21" s="401"/>
    </row>
    <row r="22" spans="1:13" x14ac:dyDescent="0.3">
      <c r="A22" s="74" t="s">
        <v>335</v>
      </c>
      <c r="B22" s="53" t="s">
        <v>46</v>
      </c>
      <c r="C22" s="75" t="s">
        <v>336</v>
      </c>
      <c r="D22" s="106" t="s">
        <v>46</v>
      </c>
      <c r="E22" s="53" t="s">
        <v>46</v>
      </c>
      <c r="F22" s="70" t="s">
        <v>46</v>
      </c>
      <c r="I22" s="309" t="s">
        <v>354</v>
      </c>
      <c r="J22" s="309" t="s">
        <v>276</v>
      </c>
      <c r="K22" s="309" t="s">
        <v>277</v>
      </c>
      <c r="L22" s="309" t="s">
        <v>276</v>
      </c>
      <c r="M22" s="309" t="s">
        <v>277</v>
      </c>
    </row>
    <row r="23" spans="1:13" x14ac:dyDescent="0.3">
      <c r="A23" s="428" t="s">
        <v>455</v>
      </c>
      <c r="B23" s="405" t="s">
        <v>337</v>
      </c>
      <c r="C23" s="406" t="s">
        <v>460</v>
      </c>
      <c r="D23" s="90" t="s">
        <v>338</v>
      </c>
      <c r="E23" s="90">
        <v>0</v>
      </c>
      <c r="F23" s="91">
        <v>14000</v>
      </c>
      <c r="I23" s="48" t="s">
        <v>273</v>
      </c>
      <c r="J23" s="85">
        <v>0</v>
      </c>
      <c r="K23" s="85">
        <v>45700</v>
      </c>
      <c r="L23" s="85">
        <v>0</v>
      </c>
      <c r="M23" s="85">
        <v>9300</v>
      </c>
    </row>
    <row r="24" spans="1:13" x14ac:dyDescent="0.3">
      <c r="A24" s="428"/>
      <c r="B24" s="405"/>
      <c r="C24" s="406"/>
      <c r="D24" s="92" t="s">
        <v>339</v>
      </c>
      <c r="E24" s="92">
        <v>14000</v>
      </c>
      <c r="F24" s="93">
        <v>60000</v>
      </c>
      <c r="I24" s="32" t="s">
        <v>274</v>
      </c>
      <c r="J24" s="86">
        <v>0</v>
      </c>
      <c r="K24" s="86">
        <v>46800</v>
      </c>
      <c r="L24" s="86">
        <v>0</v>
      </c>
      <c r="M24" s="86">
        <v>5900</v>
      </c>
    </row>
    <row r="25" spans="1:13" x14ac:dyDescent="0.3">
      <c r="A25" s="410" t="s">
        <v>456</v>
      </c>
      <c r="B25" s="411" t="s">
        <v>337</v>
      </c>
      <c r="C25" s="412" t="s">
        <v>340</v>
      </c>
      <c r="D25" s="94" t="s">
        <v>338</v>
      </c>
      <c r="E25" s="94">
        <v>0</v>
      </c>
      <c r="F25" s="95">
        <v>14000</v>
      </c>
      <c r="I25" s="48" t="s">
        <v>275</v>
      </c>
      <c r="J25" s="85">
        <v>0</v>
      </c>
      <c r="K25" s="85">
        <v>58100</v>
      </c>
      <c r="L25" s="85">
        <v>0</v>
      </c>
      <c r="M25" s="85">
        <v>16400</v>
      </c>
    </row>
    <row r="26" spans="1:13" x14ac:dyDescent="0.3">
      <c r="A26" s="410"/>
      <c r="B26" s="411"/>
      <c r="C26" s="412"/>
      <c r="D26" s="96" t="s">
        <v>339</v>
      </c>
      <c r="E26" s="96">
        <v>14000</v>
      </c>
      <c r="F26" s="97">
        <v>60000</v>
      </c>
      <c r="I26" s="32" t="s">
        <v>280</v>
      </c>
      <c r="J26" s="86">
        <v>0</v>
      </c>
      <c r="K26" s="86">
        <v>67700</v>
      </c>
      <c r="L26" s="86">
        <v>0</v>
      </c>
      <c r="M26" s="86">
        <v>33400</v>
      </c>
    </row>
    <row r="27" spans="1:13" x14ac:dyDescent="0.3">
      <c r="A27" s="428" t="s">
        <v>457</v>
      </c>
      <c r="B27" s="405" t="s">
        <v>337</v>
      </c>
      <c r="C27" s="406" t="s">
        <v>341</v>
      </c>
      <c r="D27" s="90" t="s">
        <v>338</v>
      </c>
      <c r="E27" s="90">
        <v>0</v>
      </c>
      <c r="F27" s="91">
        <v>10000</v>
      </c>
      <c r="I27" s="48" t="s">
        <v>427</v>
      </c>
      <c r="J27" s="163">
        <v>0</v>
      </c>
      <c r="K27" s="163">
        <v>20131</v>
      </c>
      <c r="L27" s="163">
        <v>0</v>
      </c>
      <c r="M27" s="163">
        <v>11000</v>
      </c>
    </row>
    <row r="28" spans="1:13" x14ac:dyDescent="0.3">
      <c r="A28" s="428"/>
      <c r="B28" s="405"/>
      <c r="C28" s="406"/>
      <c r="D28" s="92" t="s">
        <v>339</v>
      </c>
      <c r="E28" s="92">
        <v>0</v>
      </c>
      <c r="F28" s="93">
        <v>31000</v>
      </c>
      <c r="I28" s="32" t="s">
        <v>428</v>
      </c>
      <c r="J28" s="164">
        <v>0</v>
      </c>
      <c r="K28" s="164">
        <v>12955</v>
      </c>
      <c r="L28" s="164">
        <v>0</v>
      </c>
      <c r="M28" s="164">
        <v>11982</v>
      </c>
    </row>
    <row r="29" spans="1:13" x14ac:dyDescent="0.3">
      <c r="A29" s="410" t="s">
        <v>458</v>
      </c>
      <c r="B29" s="411" t="s">
        <v>337</v>
      </c>
      <c r="C29" s="412" t="s">
        <v>342</v>
      </c>
      <c r="D29" s="94" t="s">
        <v>338</v>
      </c>
      <c r="E29" s="94">
        <v>0</v>
      </c>
      <c r="F29" s="95">
        <v>10000</v>
      </c>
      <c r="I29" s="309" t="s">
        <v>353</v>
      </c>
      <c r="J29" s="309" t="s">
        <v>276</v>
      </c>
      <c r="K29" s="309" t="s">
        <v>277</v>
      </c>
      <c r="L29" s="309" t="s">
        <v>276</v>
      </c>
      <c r="M29" s="309" t="s">
        <v>277</v>
      </c>
    </row>
    <row r="30" spans="1:13" x14ac:dyDescent="0.3">
      <c r="A30" s="410"/>
      <c r="B30" s="411"/>
      <c r="C30" s="412"/>
      <c r="D30" s="96" t="s">
        <v>339</v>
      </c>
      <c r="E30" s="96">
        <v>0</v>
      </c>
      <c r="F30" s="97">
        <v>31000</v>
      </c>
      <c r="I30" s="48" t="s">
        <v>273</v>
      </c>
      <c r="J30" s="85">
        <v>0</v>
      </c>
      <c r="K30" s="85">
        <v>66800</v>
      </c>
      <c r="L30" s="85">
        <v>0</v>
      </c>
      <c r="M30" s="85">
        <v>8600</v>
      </c>
    </row>
    <row r="31" spans="1:13" ht="30" customHeight="1" x14ac:dyDescent="0.3">
      <c r="A31" s="76" t="s">
        <v>381</v>
      </c>
      <c r="B31" s="88" t="s">
        <v>331</v>
      </c>
      <c r="C31" s="79" t="s">
        <v>382</v>
      </c>
      <c r="D31" s="105" t="s">
        <v>338</v>
      </c>
      <c r="E31" s="88">
        <v>0</v>
      </c>
      <c r="F31" s="73">
        <v>70</v>
      </c>
      <c r="I31" s="32" t="s">
        <v>274</v>
      </c>
      <c r="J31" s="86">
        <v>0</v>
      </c>
      <c r="K31" s="86">
        <v>54600</v>
      </c>
      <c r="L31" s="86">
        <v>0</v>
      </c>
      <c r="M31" s="86">
        <v>4600</v>
      </c>
    </row>
    <row r="32" spans="1:13" ht="43.2" x14ac:dyDescent="0.3">
      <c r="A32" s="74" t="s">
        <v>372</v>
      </c>
      <c r="B32" s="87" t="s">
        <v>373</v>
      </c>
      <c r="C32" s="77" t="s">
        <v>461</v>
      </c>
      <c r="D32" s="78" t="s">
        <v>46</v>
      </c>
      <c r="E32" s="87" t="s">
        <v>46</v>
      </c>
      <c r="F32" s="70" t="s">
        <v>46</v>
      </c>
      <c r="I32" s="48" t="s">
        <v>275</v>
      </c>
      <c r="J32" s="85">
        <v>0</v>
      </c>
      <c r="K32" s="85">
        <v>94000</v>
      </c>
      <c r="L32" s="85">
        <v>0</v>
      </c>
      <c r="M32" s="85">
        <v>31000</v>
      </c>
    </row>
    <row r="33" spans="1:13" ht="14.4" customHeight="1" x14ac:dyDescent="0.3">
      <c r="A33" s="404" t="s">
        <v>262</v>
      </c>
      <c r="B33" s="405" t="s">
        <v>330</v>
      </c>
      <c r="C33" s="406" t="s">
        <v>395</v>
      </c>
      <c r="D33" s="90" t="s">
        <v>338</v>
      </c>
      <c r="E33" s="90">
        <v>1</v>
      </c>
      <c r="F33" s="91">
        <v>2</v>
      </c>
      <c r="I33" s="32" t="s">
        <v>280</v>
      </c>
      <c r="J33" s="86">
        <v>0</v>
      </c>
      <c r="K33" s="86">
        <v>137600</v>
      </c>
      <c r="L33" s="86">
        <v>0</v>
      </c>
      <c r="M33" s="86">
        <v>68400</v>
      </c>
    </row>
    <row r="34" spans="1:13" x14ac:dyDescent="0.3">
      <c r="A34" s="404"/>
      <c r="B34" s="405"/>
      <c r="C34" s="406"/>
      <c r="D34" s="92" t="s">
        <v>339</v>
      </c>
      <c r="E34" s="92">
        <v>1</v>
      </c>
      <c r="F34" s="93">
        <v>4</v>
      </c>
      <c r="I34" s="48" t="s">
        <v>427</v>
      </c>
      <c r="J34" s="163" t="s">
        <v>46</v>
      </c>
      <c r="K34" s="163" t="s">
        <v>46</v>
      </c>
      <c r="L34" s="163" t="s">
        <v>46</v>
      </c>
      <c r="M34" s="163" t="s">
        <v>46</v>
      </c>
    </row>
    <row r="35" spans="1:13" ht="28.8" x14ac:dyDescent="0.3">
      <c r="A35" s="74" t="s">
        <v>343</v>
      </c>
      <c r="B35" s="53" t="s">
        <v>344</v>
      </c>
      <c r="C35" s="77" t="s">
        <v>345</v>
      </c>
      <c r="D35" s="78" t="s">
        <v>356</v>
      </c>
      <c r="E35" s="87">
        <v>0</v>
      </c>
      <c r="F35" s="70">
        <v>50</v>
      </c>
      <c r="I35" s="32" t="s">
        <v>428</v>
      </c>
      <c r="J35" s="164" t="s">
        <v>46</v>
      </c>
      <c r="K35" s="164" t="s">
        <v>46</v>
      </c>
      <c r="L35" s="164" t="s">
        <v>46</v>
      </c>
      <c r="M35" s="164" t="s">
        <v>46</v>
      </c>
    </row>
    <row r="36" spans="1:13" x14ac:dyDescent="0.3">
      <c r="A36" s="76" t="s">
        <v>361</v>
      </c>
      <c r="B36" s="72" t="s">
        <v>344</v>
      </c>
      <c r="C36" s="79" t="s">
        <v>346</v>
      </c>
      <c r="D36" s="105" t="s">
        <v>356</v>
      </c>
      <c r="E36" s="72">
        <v>0</v>
      </c>
      <c r="F36" s="73">
        <v>26</v>
      </c>
      <c r="I36" s="310" t="s">
        <v>106</v>
      </c>
      <c r="J36" s="401" t="s">
        <v>278</v>
      </c>
      <c r="K36" s="401"/>
      <c r="L36" s="401" t="s">
        <v>279</v>
      </c>
      <c r="M36" s="401"/>
    </row>
    <row r="37" spans="1:13" ht="28.8" x14ac:dyDescent="0.3">
      <c r="A37" s="98" t="s">
        <v>360</v>
      </c>
      <c r="B37" s="87" t="s">
        <v>330</v>
      </c>
      <c r="C37" s="77" t="s">
        <v>359</v>
      </c>
      <c r="D37" s="78" t="s">
        <v>46</v>
      </c>
      <c r="E37" s="87" t="s">
        <v>46</v>
      </c>
      <c r="F37" s="70" t="s">
        <v>46</v>
      </c>
      <c r="I37" s="309" t="s">
        <v>53</v>
      </c>
      <c r="J37" s="309" t="s">
        <v>276</v>
      </c>
      <c r="K37" s="309" t="s">
        <v>277</v>
      </c>
      <c r="L37" s="309" t="s">
        <v>276</v>
      </c>
      <c r="M37" s="309" t="s">
        <v>277</v>
      </c>
    </row>
    <row r="38" spans="1:13" ht="28.8" x14ac:dyDescent="0.3">
      <c r="A38" s="76" t="str">
        <f>'Ramp-Terminal Inputs'!A30</f>
        <v>Distance (mi) to the adjacent ramp terminal</v>
      </c>
      <c r="B38" s="88" t="s">
        <v>374</v>
      </c>
      <c r="C38" s="79" t="s">
        <v>377</v>
      </c>
      <c r="D38" s="88" t="s">
        <v>46</v>
      </c>
      <c r="E38" s="88" t="s">
        <v>46</v>
      </c>
      <c r="F38" s="73" t="s">
        <v>46</v>
      </c>
      <c r="I38" s="48" t="s">
        <v>273</v>
      </c>
      <c r="J38" s="85">
        <v>0</v>
      </c>
      <c r="K38" s="85">
        <v>42700</v>
      </c>
      <c r="L38" s="85">
        <v>0</v>
      </c>
      <c r="M38" s="85">
        <v>13400</v>
      </c>
    </row>
    <row r="39" spans="1:13" ht="28.8" x14ac:dyDescent="0.3">
      <c r="A39" s="98" t="str">
        <f>'Ramp-Terminal Inputs'!A31</f>
        <v>Distance (mi) to the next public street intersection on the outside crossroad leg</v>
      </c>
      <c r="B39" s="99" t="s">
        <v>374</v>
      </c>
      <c r="C39" s="77" t="s">
        <v>375</v>
      </c>
      <c r="D39" s="100" t="s">
        <v>46</v>
      </c>
      <c r="E39" s="99" t="s">
        <v>46</v>
      </c>
      <c r="F39" s="101" t="s">
        <v>46</v>
      </c>
      <c r="I39" s="32" t="s">
        <v>274</v>
      </c>
      <c r="J39" s="86">
        <v>0</v>
      </c>
      <c r="K39" s="86">
        <v>23400</v>
      </c>
      <c r="L39" s="86">
        <v>0</v>
      </c>
      <c r="M39" s="86">
        <v>19200</v>
      </c>
    </row>
    <row r="40" spans="1:13" ht="28.8" x14ac:dyDescent="0.3">
      <c r="A40" s="76" t="s">
        <v>380</v>
      </c>
      <c r="B40" s="88" t="s">
        <v>373</v>
      </c>
      <c r="C40" s="79" t="s">
        <v>386</v>
      </c>
      <c r="D40" s="88"/>
      <c r="E40" s="88"/>
      <c r="F40" s="73"/>
      <c r="I40" s="48" t="s">
        <v>275</v>
      </c>
      <c r="J40" s="85">
        <v>0</v>
      </c>
      <c r="K40" s="85">
        <v>43800</v>
      </c>
      <c r="L40" s="85">
        <v>0</v>
      </c>
      <c r="M40" s="85">
        <v>58800</v>
      </c>
    </row>
    <row r="41" spans="1:13" x14ac:dyDescent="0.3">
      <c r="I41" s="32" t="s">
        <v>280</v>
      </c>
      <c r="J41" s="86">
        <v>0</v>
      </c>
      <c r="K41" s="86">
        <v>77000</v>
      </c>
      <c r="L41" s="86">
        <v>0</v>
      </c>
      <c r="M41" s="86">
        <v>98900</v>
      </c>
    </row>
    <row r="42" spans="1:13" x14ac:dyDescent="0.3">
      <c r="I42" s="48" t="s">
        <v>427</v>
      </c>
      <c r="J42" s="163" t="s">
        <v>46</v>
      </c>
      <c r="K42" s="163" t="s">
        <v>46</v>
      </c>
      <c r="L42" s="163" t="s">
        <v>46</v>
      </c>
      <c r="M42" s="163" t="s">
        <v>46</v>
      </c>
    </row>
    <row r="43" spans="1:13" x14ac:dyDescent="0.3">
      <c r="I43" s="32" t="s">
        <v>428</v>
      </c>
      <c r="J43" s="164" t="s">
        <v>46</v>
      </c>
      <c r="K43" s="164" t="s">
        <v>46</v>
      </c>
      <c r="L43" s="164" t="s">
        <v>46</v>
      </c>
      <c r="M43" s="164" t="s">
        <v>46</v>
      </c>
    </row>
    <row r="44" spans="1:13" x14ac:dyDescent="0.3">
      <c r="I44" s="309" t="s">
        <v>54</v>
      </c>
      <c r="J44" s="309" t="s">
        <v>276</v>
      </c>
      <c r="K44" s="309" t="s">
        <v>277</v>
      </c>
      <c r="L44" s="309" t="s">
        <v>276</v>
      </c>
      <c r="M44" s="309" t="s">
        <v>277</v>
      </c>
    </row>
    <row r="45" spans="1:13" x14ac:dyDescent="0.3">
      <c r="I45" s="48" t="s">
        <v>273</v>
      </c>
      <c r="J45" s="85">
        <v>0</v>
      </c>
      <c r="K45" s="85">
        <v>16900</v>
      </c>
      <c r="L45" s="85">
        <v>0</v>
      </c>
      <c r="M45" s="85">
        <v>11100</v>
      </c>
    </row>
    <row r="46" spans="1:13" x14ac:dyDescent="0.3">
      <c r="I46" s="32" t="s">
        <v>274</v>
      </c>
      <c r="J46" s="86">
        <v>0</v>
      </c>
      <c r="K46" s="86">
        <v>11000</v>
      </c>
      <c r="L46" s="86">
        <v>0</v>
      </c>
      <c r="M46" s="86">
        <v>6800</v>
      </c>
    </row>
    <row r="47" spans="1:13" x14ac:dyDescent="0.3">
      <c r="I47" s="48" t="s">
        <v>275</v>
      </c>
      <c r="J47" s="85">
        <v>0</v>
      </c>
      <c r="K47" s="85">
        <v>20100</v>
      </c>
      <c r="L47" s="85">
        <v>0</v>
      </c>
      <c r="M47" s="85">
        <v>7500</v>
      </c>
    </row>
    <row r="48" spans="1:13" x14ac:dyDescent="0.3">
      <c r="I48" s="32" t="s">
        <v>280</v>
      </c>
      <c r="J48" s="86">
        <v>0</v>
      </c>
      <c r="K48" s="86">
        <v>24300</v>
      </c>
      <c r="L48" s="86">
        <v>0</v>
      </c>
      <c r="M48" s="86">
        <v>16900</v>
      </c>
    </row>
    <row r="49" spans="9:13" x14ac:dyDescent="0.3">
      <c r="I49" s="48" t="s">
        <v>427</v>
      </c>
      <c r="J49" s="163" t="s">
        <v>46</v>
      </c>
      <c r="K49" s="163" t="s">
        <v>46</v>
      </c>
      <c r="L49" s="163" t="s">
        <v>46</v>
      </c>
      <c r="M49" s="163" t="s">
        <v>46</v>
      </c>
    </row>
    <row r="50" spans="9:13" x14ac:dyDescent="0.3">
      <c r="I50" s="32" t="s">
        <v>428</v>
      </c>
      <c r="J50" s="164" t="s">
        <v>46</v>
      </c>
      <c r="K50" s="164" t="s">
        <v>46</v>
      </c>
      <c r="L50" s="164" t="s">
        <v>46</v>
      </c>
      <c r="M50" s="164" t="s">
        <v>46</v>
      </c>
    </row>
    <row r="51" spans="9:13" x14ac:dyDescent="0.3">
      <c r="I51" s="310" t="s">
        <v>106</v>
      </c>
      <c r="J51" s="401" t="s">
        <v>278</v>
      </c>
      <c r="K51" s="401"/>
      <c r="L51" s="401" t="s">
        <v>279</v>
      </c>
      <c r="M51" s="401"/>
    </row>
    <row r="52" spans="9:13" x14ac:dyDescent="0.3">
      <c r="I52" s="309" t="s">
        <v>426</v>
      </c>
      <c r="J52" s="309" t="s">
        <v>276</v>
      </c>
      <c r="K52" s="309" t="s">
        <v>277</v>
      </c>
      <c r="L52" s="309" t="s">
        <v>276</v>
      </c>
      <c r="M52" s="309" t="s">
        <v>277</v>
      </c>
    </row>
    <row r="53" spans="9:13" x14ac:dyDescent="0.3">
      <c r="I53" s="48" t="s">
        <v>273</v>
      </c>
      <c r="J53" s="85">
        <v>0</v>
      </c>
      <c r="K53" s="85">
        <v>58594</v>
      </c>
      <c r="L53" s="85">
        <v>0</v>
      </c>
      <c r="M53" s="85">
        <v>11335</v>
      </c>
    </row>
    <row r="54" spans="9:13" x14ac:dyDescent="0.3">
      <c r="I54" s="32" t="s">
        <v>274</v>
      </c>
      <c r="J54" s="86">
        <v>0</v>
      </c>
      <c r="K54" s="86">
        <v>59000</v>
      </c>
      <c r="L54" s="86">
        <v>0</v>
      </c>
      <c r="M54" s="86">
        <v>29800</v>
      </c>
    </row>
    <row r="55" spans="9:13" x14ac:dyDescent="0.3">
      <c r="I55" s="48" t="s">
        <v>275</v>
      </c>
      <c r="J55" s="85">
        <v>0</v>
      </c>
      <c r="K55" s="85">
        <v>47200</v>
      </c>
      <c r="L55" s="85">
        <v>0</v>
      </c>
      <c r="M55" s="85">
        <v>11282</v>
      </c>
    </row>
    <row r="56" spans="9:13" x14ac:dyDescent="0.3">
      <c r="I56" s="32" t="s">
        <v>280</v>
      </c>
      <c r="J56" s="86">
        <v>0</v>
      </c>
      <c r="K56" s="86">
        <v>59800</v>
      </c>
      <c r="L56" s="86">
        <v>0</v>
      </c>
      <c r="M56" s="86">
        <v>30029</v>
      </c>
    </row>
    <row r="57" spans="9:13" x14ac:dyDescent="0.3">
      <c r="I57" s="48" t="s">
        <v>427</v>
      </c>
      <c r="J57" s="163" t="s">
        <v>46</v>
      </c>
      <c r="K57" s="163" t="s">
        <v>46</v>
      </c>
      <c r="L57" s="163" t="s">
        <v>46</v>
      </c>
      <c r="M57" s="163" t="s">
        <v>46</v>
      </c>
    </row>
    <row r="58" spans="9:13" x14ac:dyDescent="0.3">
      <c r="I58" s="32" t="s">
        <v>428</v>
      </c>
      <c r="J58" s="164" t="s">
        <v>46</v>
      </c>
      <c r="K58" s="164" t="s">
        <v>46</v>
      </c>
      <c r="L58" s="164" t="s">
        <v>46</v>
      </c>
      <c r="M58" s="164" t="s">
        <v>46</v>
      </c>
    </row>
  </sheetData>
  <sheetProtection algorithmName="SHA-512" hashValue="PVvSobcukt1ZeznlRijdIkKJnUUMwQeYQQihhdWOUHpA0SrXzdU2uzjvBnjuKLyUNbnwfGHswujWWJ0+npht5Q==" saltValue="YQ+3mef9Feem//9uf7r+QQ==" spinCount="100000" sheet="1" objects="1" scenarios="1"/>
  <mergeCells count="45">
    <mergeCell ref="J51:K51"/>
    <mergeCell ref="L51:M51"/>
    <mergeCell ref="D3:F3"/>
    <mergeCell ref="A5:F5"/>
    <mergeCell ref="A7:F7"/>
    <mergeCell ref="A27:A28"/>
    <mergeCell ref="B27:B28"/>
    <mergeCell ref="C27:C28"/>
    <mergeCell ref="B25:B26"/>
    <mergeCell ref="C25:C26"/>
    <mergeCell ref="A3:A4"/>
    <mergeCell ref="B3:B4"/>
    <mergeCell ref="C3:C4"/>
    <mergeCell ref="A23:A24"/>
    <mergeCell ref="B23:B24"/>
    <mergeCell ref="C23:C24"/>
    <mergeCell ref="A25:A26"/>
    <mergeCell ref="L36:M36"/>
    <mergeCell ref="L3:M3"/>
    <mergeCell ref="J12:K12"/>
    <mergeCell ref="L12:M12"/>
    <mergeCell ref="I11:M11"/>
    <mergeCell ref="I3:I4"/>
    <mergeCell ref="I12:I13"/>
    <mergeCell ref="J21:K21"/>
    <mergeCell ref="L21:M21"/>
    <mergeCell ref="I20:M20"/>
    <mergeCell ref="J3:K3"/>
    <mergeCell ref="J36:K36"/>
    <mergeCell ref="O1:S1"/>
    <mergeCell ref="P2:Q2"/>
    <mergeCell ref="R2:S2"/>
    <mergeCell ref="E13:F13"/>
    <mergeCell ref="A33:A34"/>
    <mergeCell ref="B33:B34"/>
    <mergeCell ref="C33:C34"/>
    <mergeCell ref="D8:F8"/>
    <mergeCell ref="I1:M1"/>
    <mergeCell ref="I2:M2"/>
    <mergeCell ref="A29:A30"/>
    <mergeCell ref="B29:B30"/>
    <mergeCell ref="C29:C30"/>
    <mergeCell ref="A1:F1"/>
    <mergeCell ref="A2:F2"/>
    <mergeCell ref="A21:F21"/>
  </mergeCells>
  <hyperlinks>
    <hyperlink ref="E13:F13" location="Definitions!O1" display="See Table in Column O " xr:uid="{00000000-0004-0000-0200-000000000000}"/>
    <hyperlink ref="D8:F8" location="Definitions!I1" display="See table starting in column I (to the right)." xr:uid="{00000000-0004-0000-0200-000001000000}"/>
  </hyperlink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4" tint="-0.249977111117893"/>
  </sheetPr>
  <dimension ref="A1:X110"/>
  <sheetViews>
    <sheetView showGridLines="0" showRowColHeaders="0" zoomScaleNormal="100" workbookViewId="0">
      <selection activeCell="D3" sqref="D3"/>
    </sheetView>
  </sheetViews>
  <sheetFormatPr defaultColWidth="0" defaultRowHeight="13.8" zeroHeight="1" x14ac:dyDescent="0.25"/>
  <cols>
    <col min="1" max="1" width="41.44140625" style="227" customWidth="1"/>
    <col min="2" max="2" width="6.6640625" style="227" customWidth="1"/>
    <col min="3" max="3" width="10.109375" style="227" customWidth="1"/>
    <col min="4" max="4" width="29" style="227" customWidth="1"/>
    <col min="5" max="5" width="24.109375" style="227" customWidth="1"/>
    <col min="6" max="8" width="23.5546875" style="227" customWidth="1"/>
    <col min="9" max="9" width="1" style="227" customWidth="1"/>
    <col min="10" max="11" width="8.88671875" style="227" hidden="1" customWidth="1"/>
    <col min="12" max="12" width="3.77734375" style="227" hidden="1" customWidth="1"/>
    <col min="13" max="30" width="8.88671875" style="227" hidden="1" customWidth="1"/>
    <col min="31" max="16384" width="8.88671875" style="227" hidden="1"/>
  </cols>
  <sheetData>
    <row r="1" spans="1:11" s="258" customFormat="1" ht="22.8" x14ac:dyDescent="0.4">
      <c r="A1" s="378" t="s">
        <v>436</v>
      </c>
      <c r="B1" s="379"/>
      <c r="C1" s="379"/>
      <c r="D1" s="379"/>
      <c r="E1" s="379"/>
      <c r="F1" s="379"/>
      <c r="G1" s="379"/>
      <c r="H1" s="380"/>
    </row>
    <row r="2" spans="1:11" s="258" customFormat="1" ht="13.2" customHeight="1" x14ac:dyDescent="0.25">
      <c r="A2" s="486" t="s">
        <v>272</v>
      </c>
      <c r="B2" s="487"/>
      <c r="C2" s="487"/>
      <c r="D2" s="487"/>
      <c r="E2" s="487"/>
      <c r="F2" s="487"/>
      <c r="G2" s="487"/>
      <c r="H2" s="488"/>
    </row>
    <row r="3" spans="1:11" s="258" customFormat="1" ht="15" customHeight="1" x14ac:dyDescent="0.25">
      <c r="A3" s="483" t="s">
        <v>106</v>
      </c>
      <c r="B3" s="484"/>
      <c r="C3" s="485"/>
      <c r="D3" s="238" t="s">
        <v>69</v>
      </c>
      <c r="E3" s="326" t="s">
        <v>486</v>
      </c>
      <c r="F3" s="248"/>
      <c r="G3" s="236"/>
      <c r="H3" s="242"/>
    </row>
    <row r="4" spans="1:11" s="258" customFormat="1" ht="15" customHeight="1" x14ac:dyDescent="0.25">
      <c r="A4" s="483" t="s">
        <v>96</v>
      </c>
      <c r="B4" s="484"/>
      <c r="C4" s="485"/>
      <c r="D4" s="238" t="s">
        <v>97</v>
      </c>
      <c r="E4" s="326" t="s">
        <v>486</v>
      </c>
      <c r="F4" s="248"/>
      <c r="G4" s="249"/>
      <c r="H4" s="242"/>
    </row>
    <row r="5" spans="1:11" s="258" customFormat="1" ht="15" customHeight="1" x14ac:dyDescent="0.25">
      <c r="A5" s="483" t="s">
        <v>85</v>
      </c>
      <c r="B5" s="484"/>
      <c r="C5" s="485"/>
      <c r="D5" s="238"/>
      <c r="E5" s="489" t="str">
        <f>IF(NOT(ISNUMBER(Input_OpenYear)),"Please specify a valid Opening Year","")</f>
        <v>Please specify a valid Opening Year</v>
      </c>
      <c r="F5" s="490"/>
      <c r="G5" s="490"/>
      <c r="H5" s="491"/>
    </row>
    <row r="6" spans="1:11" s="258" customFormat="1" ht="15" customHeight="1" x14ac:dyDescent="0.25">
      <c r="A6" s="483" t="s">
        <v>86</v>
      </c>
      <c r="B6" s="484"/>
      <c r="C6" s="485"/>
      <c r="D6" s="336"/>
      <c r="E6" s="489" t="str">
        <f>IF(Input_AnalysisYearType=Label_AnalysisYearType_OpenAndDesign,IF(NOT(ISNUMBER(Input_DesignYear)),"Please specify a valid Design Year",IF(Input_OpenYear&gt;=Input_DesignYear,"The Design Year must be later than the Opening Year","")),"")</f>
        <v/>
      </c>
      <c r="F6" s="490"/>
      <c r="G6" s="490"/>
      <c r="H6" s="491"/>
    </row>
    <row r="7" spans="1:11" s="258" customFormat="1" ht="15" customHeight="1" x14ac:dyDescent="0.25">
      <c r="A7" s="483" t="s">
        <v>36</v>
      </c>
      <c r="B7" s="484"/>
      <c r="C7" s="485"/>
      <c r="D7" s="239" t="s">
        <v>49</v>
      </c>
      <c r="E7" s="326" t="s">
        <v>486</v>
      </c>
      <c r="F7" s="236"/>
      <c r="G7" s="249"/>
      <c r="H7" s="250"/>
    </row>
    <row r="8" spans="1:11" s="258" customFormat="1" ht="15" customHeight="1" x14ac:dyDescent="0.25">
      <c r="A8" s="492" t="s">
        <v>435</v>
      </c>
      <c r="B8" s="493"/>
      <c r="C8" s="494"/>
      <c r="D8" s="239" t="s">
        <v>432</v>
      </c>
      <c r="E8" s="326" t="s">
        <v>486</v>
      </c>
      <c r="F8" s="327"/>
      <c r="G8" s="236"/>
      <c r="H8" s="242"/>
    </row>
    <row r="9" spans="1:11" s="258" customFormat="1" ht="16.95" customHeight="1" x14ac:dyDescent="0.25">
      <c r="A9" s="483" t="s">
        <v>74</v>
      </c>
      <c r="B9" s="484"/>
      <c r="C9" s="485"/>
      <c r="D9" s="239" t="s">
        <v>75</v>
      </c>
      <c r="E9" s="326" t="s">
        <v>486</v>
      </c>
      <c r="F9" s="228"/>
      <c r="G9" s="228"/>
      <c r="H9" s="251"/>
      <c r="J9" s="259"/>
      <c r="K9" s="259"/>
    </row>
    <row r="10" spans="1:11" s="258" customFormat="1" ht="18" hidden="1" customHeight="1" x14ac:dyDescent="0.25">
      <c r="A10" s="471" t="s">
        <v>185</v>
      </c>
      <c r="B10" s="472"/>
      <c r="C10" s="473"/>
      <c r="D10" s="316" t="s">
        <v>152</v>
      </c>
      <c r="E10" s="228"/>
      <c r="F10" s="228"/>
      <c r="G10" s="228"/>
      <c r="H10" s="251"/>
    </row>
    <row r="11" spans="1:11" s="258" customFormat="1" ht="18" hidden="1" customHeight="1" x14ac:dyDescent="0.25">
      <c r="A11" s="474" t="s">
        <v>193</v>
      </c>
      <c r="B11" s="475"/>
      <c r="C11" s="476"/>
      <c r="D11" s="316" t="s">
        <v>51</v>
      </c>
      <c r="E11" s="229"/>
      <c r="F11" s="229"/>
      <c r="G11" s="229"/>
      <c r="H11" s="252"/>
    </row>
    <row r="12" spans="1:11" s="258" customFormat="1" ht="18" hidden="1" customHeight="1" x14ac:dyDescent="0.25">
      <c r="A12" s="474" t="s">
        <v>148</v>
      </c>
      <c r="B12" s="475"/>
      <c r="C12" s="476"/>
      <c r="D12" s="316" t="s">
        <v>195</v>
      </c>
      <c r="E12" s="469"/>
      <c r="F12" s="469"/>
      <c r="G12" s="469"/>
      <c r="H12" s="470"/>
    </row>
    <row r="13" spans="1:11" s="258" customFormat="1" ht="18" customHeight="1" x14ac:dyDescent="0.25">
      <c r="A13" s="477" t="s">
        <v>462</v>
      </c>
      <c r="B13" s="478"/>
      <c r="C13" s="479"/>
      <c r="D13" s="312"/>
      <c r="E13" s="461" t="str">
        <f>IF(Input_Base_OAADTMajor="", "Please specify a non-zero AADT value","")</f>
        <v>Please specify a non-zero AADT value</v>
      </c>
      <c r="F13" s="461"/>
      <c r="G13" s="461"/>
      <c r="H13" s="462"/>
    </row>
    <row r="14" spans="1:11" s="258" customFormat="1" ht="18" customHeight="1" x14ac:dyDescent="0.25">
      <c r="A14" s="477" t="s">
        <v>463</v>
      </c>
      <c r="B14" s="478"/>
      <c r="C14" s="479"/>
      <c r="D14" s="312"/>
      <c r="E14" s="460" t="str">
        <f>IF(Input_Base_OAADTMinor="", "Please specify a non-zero AADT value","")</f>
        <v>Please specify a non-zero AADT value</v>
      </c>
      <c r="F14" s="461"/>
      <c r="G14" s="461"/>
      <c r="H14" s="462"/>
    </row>
    <row r="15" spans="1:11" s="258" customFormat="1" ht="18" customHeight="1" x14ac:dyDescent="0.25">
      <c r="A15" s="477" t="s">
        <v>464</v>
      </c>
      <c r="B15" s="478"/>
      <c r="C15" s="479"/>
      <c r="D15" s="337"/>
      <c r="E15" s="463" t="str">
        <f>IF(AND(Input_AnalysisYearType=Label_AnalysisYearType_OpenAndDesign,Input_Base_DAADTMajor=""),"Please specify a non-zero AADT value",IF(Input_AnalysisYearType&lt;&gt;Label_AnalysisYearType_OpenAndDesign,"Enable ""Opening and Design Year"" above to input Design Year AADTs",""))</f>
        <v>Enable "Opening and Design Year" above to input Design Year AADTs</v>
      </c>
      <c r="F15" s="464"/>
      <c r="G15" s="464"/>
      <c r="H15" s="465"/>
    </row>
    <row r="16" spans="1:11" s="258" customFormat="1" ht="18" customHeight="1" thickBot="1" x14ac:dyDescent="0.3">
      <c r="A16" s="480" t="s">
        <v>465</v>
      </c>
      <c r="B16" s="481"/>
      <c r="C16" s="482"/>
      <c r="D16" s="338"/>
      <c r="E16" s="466" t="str">
        <f>IF(AND(Input_AnalysisYearType=Label_AnalysisYearType_OpenAndDesign,Input_Base_DAADTMinor=""), "Please specify a non-zero AADT value","")</f>
        <v/>
      </c>
      <c r="F16" s="467"/>
      <c r="G16" s="467"/>
      <c r="H16" s="468"/>
    </row>
    <row r="17" spans="1:16" s="258" customFormat="1" ht="18" customHeight="1" thickBot="1" x14ac:dyDescent="0.3">
      <c r="A17" s="499" t="s">
        <v>438</v>
      </c>
      <c r="B17" s="500"/>
      <c r="C17" s="500"/>
      <c r="D17" s="500"/>
      <c r="E17" s="500"/>
      <c r="F17" s="500"/>
      <c r="G17" s="500"/>
      <c r="H17" s="501"/>
      <c r="O17" s="258" t="s">
        <v>282</v>
      </c>
    </row>
    <row r="18" spans="1:16" s="258" customFormat="1" ht="30" customHeight="1" x14ac:dyDescent="0.25">
      <c r="A18" s="246" t="s">
        <v>139</v>
      </c>
      <c r="B18" s="504" t="s">
        <v>140</v>
      </c>
      <c r="C18" s="504"/>
      <c r="D18" s="247" t="s">
        <v>208</v>
      </c>
      <c r="E18" s="445"/>
      <c r="F18" s="505"/>
      <c r="G18" s="445"/>
      <c r="H18" s="446"/>
      <c r="I18" s="259"/>
      <c r="O18" s="258" t="s">
        <v>281</v>
      </c>
      <c r="P18" s="258" t="s">
        <v>210</v>
      </c>
    </row>
    <row r="19" spans="1:16" s="258" customFormat="1" ht="18" customHeight="1" x14ac:dyDescent="0.25">
      <c r="A19" s="240" t="s">
        <v>43</v>
      </c>
      <c r="B19" s="437" t="s">
        <v>167</v>
      </c>
      <c r="C19" s="438"/>
      <c r="D19" s="313" t="str">
        <f>IF(AND(Input_NumLegs=Notes!A48,Input_Include_TS=Notes!Q19,Input_FacilityType=Notes!A32), "Minor Road Stop","--")</f>
        <v>--</v>
      </c>
      <c r="E19" s="241" t="str">
        <f>IF(NOT(ISNUMBER($K$19)),"No SPF Available",IF(O19,"","Opening Year AADT Outside of SPF Development Range"))</f>
        <v/>
      </c>
      <c r="F19" s="241"/>
      <c r="G19" s="241" t="str">
        <f t="shared" ref="G19:G21" si="0">IF(NOT(ISNUMBER(M19)),"No SPF",IF(Input_AnalysisYearType=Label_AnalysisYearType_OpenAndDesign,IF(P19,"","Design Year AADT Outside of SPF Development Range"),""))</f>
        <v/>
      </c>
      <c r="H19" s="242"/>
      <c r="I19" s="258">
        <f>IF(Input_FacilityType=FacilityType_Label_Rural2Ln,1,IF(Input_FacilityType=FacilityType_Label_RuralMultiLn,2,IF(Input_FacilityType=FacilityType_Label_Urban,IF(Input_MajorApproachSpeed=Notes!$A$67,7,IF(Input_1Way2Way=Notes!$A$54,IF(Input_NumMajorLanes=Notes!$A$60,3,4),IF(Input_1Way2Way=Notes!$A$55,5,6))))))</f>
        <v>3</v>
      </c>
      <c r="J19" s="260" t="str">
        <f>IF(Input_NumLegs=Notes!$A$49,"4","3")&amp;"SG"</f>
        <v>3SG</v>
      </c>
      <c r="K19" s="258">
        <f>VLOOKUP($J19,IF($I19=7,Range_USA_HS,IF($I19=6,Range_USA_1x1,IF($I19=5,Range_USA_1x2,IF($I19=4,Range_USA_2x2_6P,IF($I19=3,Range_USA_2x2_5F,IF($I19=2,Range_RML, Range_R2L)))))),2,FALSE)</f>
        <v>0</v>
      </c>
      <c r="L19" s="258">
        <f>VLOOKUP($J19,IF($I19=7,Range_USA_HS,IF($I19=6,Range_USA_1x1,IF($I19=5,Range_USA_1x2,IF($I19=4,Range_USA_2x2_6P,IF($I19=3,Range_USA_2x2_5F,IF($I19=2,Range_RML, Range_R2L)))))),3,FALSE)</f>
        <v>58100</v>
      </c>
      <c r="M19" s="258">
        <f>VLOOKUP($J19,IF($I19=7,Range_USA_HS,IF($I19=6,Range_USA_1x1,IF($I19=5,Range_USA_1x2,IF($I19=4,Range_USA_2x2_6P,IF($I19=3,Range_USA_2x2_5F,IF($I19=2,Range_RML, Range_R2L)))))),4,FALSE)</f>
        <v>0</v>
      </c>
      <c r="N19" s="258">
        <f>VLOOKUP($J19,IF($I19=7,Range_USA_HS,IF($I19=6,Range_USA_1x1,IF($I19=5,Range_USA_1x2,IF($I19=4,Range_USA_2x2_6P,IF($I19=3,Range_USA_2x2_5F,IF($I19=2,Range_RML, Range_R2L)))))),5,FALSE)</f>
        <v>16400</v>
      </c>
      <c r="O19" s="258" t="b">
        <f t="shared" ref="O19:O24" si="1">AND(Input_Base_OAADTMajor&gt;=K19,Input_Base_OAADTMajor&lt;=L19,Input_Base_OAADTMinor&gt;=M19,Input_Base_OAADTMinor&lt;=N19)</f>
        <v>1</v>
      </c>
      <c r="P19" s="258" t="b">
        <f t="shared" ref="P19:P24" si="2">AND(Input_Base_DAADTMajor&gt;=K19,Input_Base_DAADTMajor&lt;=L19,Input_Base_DAADTMinor&gt;=M19,Input_Base_DAADTMinor&lt;=N19)</f>
        <v>1</v>
      </c>
    </row>
    <row r="20" spans="1:16" s="258" customFormat="1" ht="18" customHeight="1" x14ac:dyDescent="0.25">
      <c r="A20" s="240" t="s">
        <v>205</v>
      </c>
      <c r="B20" s="437" t="s">
        <v>167</v>
      </c>
      <c r="C20" s="438"/>
      <c r="D20" s="313" t="str">
        <f>IF(AND(Input_NumLegs=Notes!A48,Input_Include_TS=Notes!Q19,Input_FacilityType=Notes!A32), "Minor Road Stop","--")</f>
        <v>--</v>
      </c>
      <c r="E20" s="241" t="str">
        <f>IF(NOT(ISNUMBER($K$20)),"No SPF Available",IF(O20,"","Opening Year AADT Outside of SPF Development Range"))</f>
        <v/>
      </c>
      <c r="F20" s="241"/>
      <c r="G20" s="241" t="str">
        <f t="shared" si="0"/>
        <v/>
      </c>
      <c r="H20" s="242"/>
      <c r="I20" s="258">
        <f>IF(Input_FacilityType=FacilityType_Label_Rural2Ln,1,IF(Input_FacilityType=FacilityType_Label_RuralMultiLn,2,IF(Input_FacilityType=FacilityType_Label_Urban,IF(Input_MajorApproachSpeed=Notes!$A$67,7,IF(Input_1Way2Way=Notes!$A$54,IF(Input_NumMajorLanes=Notes!$A$60,3,4),IF(Input_1Way2Way=Notes!$A$55,5,6))))))</f>
        <v>3</v>
      </c>
      <c r="J20" s="258" t="str">
        <f>IF(Input_NumLegs=Notes!$A$49,"4","3")&amp;"SG"</f>
        <v>3SG</v>
      </c>
      <c r="K20" s="258">
        <f>VLOOKUP($J20,IF($I20=7,Range_USA_HS,IF($I20=6,Range_USA_1x1,IF($I20=5,Range_USA_1x2,IF($I20=4,Range_USA_2x2_6P,IF($I20=3,Range_USA_2x2_5F,IF($I20=2,Range_RML, Range_R2L)))))),2,FALSE)</f>
        <v>0</v>
      </c>
      <c r="L20" s="258">
        <f>VLOOKUP($J20,IF($I20=7,Range_USA_HS,IF($I20=6,Range_USA_1x1,IF($I20=5,Range_USA_1x2,IF($I20=4,Range_USA_2x2_6P,IF($I20=3,Range_USA_2x2_5F,IF($I20=2,Range_RML, Range_R2L)))))),3,FALSE)</f>
        <v>58100</v>
      </c>
      <c r="M20" s="258">
        <f>VLOOKUP($J20,IF($I20=7,Range_USA_HS,IF($I20=6,Range_USA_1x1,IF($I20=5,Range_USA_1x2,IF($I20=4,Range_USA_2x2_6P,IF($I20=3,Range_USA_2x2_5F,IF($I20=2,Range_RML, Range_R2L)))))),4,FALSE)</f>
        <v>0</v>
      </c>
      <c r="N20" s="258">
        <f>VLOOKUP($J20,IF($I20=7,Range_USA_HS,IF($I20=6,Range_USA_1x1,IF($I20=5,Range_USA_1x2,IF($I20=4,Range_USA_2x2_6P,IF($I20=3,Range_USA_2x2_5F,IF($I20=2,Range_RML, Range_R2L)))))),5,FALSE)</f>
        <v>16400</v>
      </c>
      <c r="O20" s="258" t="b">
        <f t="shared" si="1"/>
        <v>1</v>
      </c>
      <c r="P20" s="258" t="b">
        <f t="shared" si="2"/>
        <v>1</v>
      </c>
    </row>
    <row r="21" spans="1:16" s="258" customFormat="1" ht="18" customHeight="1" x14ac:dyDescent="0.25">
      <c r="A21" s="240" t="s">
        <v>56</v>
      </c>
      <c r="B21" s="437" t="s">
        <v>167</v>
      </c>
      <c r="C21" s="438"/>
      <c r="D21" s="313" t="str">
        <f>IF(OR(AND(Input_NumLegs=Notes!A48,Input_Include_TS=Notes!Q19,Input_FacilityType=Notes!A32),AND(Input_NumLegs=Notes!A49,Input_Include_AS=Notes!Q19,Input_FacilityType=Notes!A32)), "Must Be Analyzed","--")</f>
        <v>--</v>
      </c>
      <c r="E21" s="241" t="str">
        <f>IF(NOT(ISNUMBER($K$21)),"No SPF Available",IF(O21,"","Opening Year AADT Outside of SPF Development Range"))</f>
        <v/>
      </c>
      <c r="F21" s="241"/>
      <c r="G21" s="241" t="str">
        <f t="shared" si="0"/>
        <v/>
      </c>
      <c r="H21" s="243"/>
      <c r="I21" s="258">
        <f>IF(Input_FacilityType=FacilityType_Label_Rural2Ln,1,IF(Input_FacilityType=FacilityType_Label_RuralMultiLn,2,IF(Input_FacilityType=FacilityType_Label_Urban,IF(Input_MajorApproachSpeed=Notes!$A$67,7,IF(Input_1Way2Way=Notes!$A$54,IF(Input_NumMajorLanes=Notes!$A$60,3,4),IF(Input_1Way2Way=Notes!$A$55,5,6))))))</f>
        <v>3</v>
      </c>
      <c r="J21" s="258" t="str">
        <f>IF(Input_NumLegs=Notes!$A$49,"4","3")&amp;"ST"</f>
        <v>3ST</v>
      </c>
      <c r="K21" s="258">
        <f>VLOOKUP($J21,IF($I21=7,Range_USA_HS,IF($I21=6,Range_USA_1x1,IF($I21=5,Range_USA_1x2,IF($I21=4,Range_USA_2x2_6P,IF($I21=3,Range_USA_2x2_5F,IF($I21=2,Range_RML, Range_R2L)))))),2,FALSE)</f>
        <v>0</v>
      </c>
      <c r="L21" s="258">
        <f>VLOOKUP($J21,IF($I21=7,Range_USA_HS,IF($I21=6,Range_USA_1x1,IF($I21=5,Range_USA_1x2,IF($I21=4,Range_USA_2x2_6P,IF($I21=3,Range_USA_2x2_5F,IF($I21=2,Range_RML, Range_R2L)))))),3,FALSE)</f>
        <v>45700</v>
      </c>
      <c r="M21" s="258">
        <f>VLOOKUP($J21,IF($I21=7,Range_USA_HS,IF($I21=6,Range_USA_1x1,IF($I21=5,Range_USA_1x2,IF($I21=4,Range_USA_2x2_6P,IF($I21=3,Range_USA_2x2_5F,IF($I21=2,Range_RML, Range_R2L)))))),4,FALSE)</f>
        <v>0</v>
      </c>
      <c r="N21" s="258">
        <f>VLOOKUP($J21,IF($I21=7,Range_USA_HS,IF($I21=6,Range_USA_1x1,IF($I21=5,Range_USA_1x2,IF($I21=4,Range_USA_2x2_6P,IF($I21=3,Range_USA_2x2_5F,IF($I21=2,Range_RML, Range_R2L)))))),5,FALSE)</f>
        <v>9300</v>
      </c>
      <c r="O21" s="258" t="b">
        <f t="shared" si="1"/>
        <v>1</v>
      </c>
      <c r="P21" s="258" t="b">
        <f t="shared" si="2"/>
        <v>1</v>
      </c>
    </row>
    <row r="22" spans="1:16" s="258" customFormat="1" ht="18" customHeight="1" x14ac:dyDescent="0.25">
      <c r="A22" s="240" t="str">
        <f>"All-Way Stop"&amp;IF(Input_FacilityType&lt;&gt;Notes!$A$32," (No SPF/CMF Available)","")</f>
        <v>All-Way Stop (No SPF/CMF Available)</v>
      </c>
      <c r="B22" s="437" t="s">
        <v>89</v>
      </c>
      <c r="C22" s="438"/>
      <c r="D22" s="313" t="str">
        <f>IF(AND(Input_NumLegs=Notes!A49,Input_Include_AS=Notes!Q19,Input_FacilityType=Notes!A32), "Minor Road Stop","--")</f>
        <v>--</v>
      </c>
      <c r="E22" s="241"/>
      <c r="F22" s="230"/>
      <c r="G22" s="241"/>
      <c r="H22" s="243"/>
      <c r="I22" s="258">
        <f>IF(Input_FacilityType=FacilityType_Label_Rural2Ln,1,IF(Input_FacilityType=FacilityType_Label_RuralMultiLn,2,IF(Input_FacilityType=FacilityType_Label_Urban,IF(Input_MajorApproachSpeed=Notes!$A$67,7,IF(Input_1Way2Way=Notes!$A$54,IF(Input_NumMajorLanes=Notes!$A$60,3,4),IF(Input_1Way2Way=Notes!$A$55,5,6))))))</f>
        <v>3</v>
      </c>
      <c r="J22" s="258" t="str">
        <f>IF(Input_NumLegs=Notes!$A$49,"4","3")&amp;"AWST"</f>
        <v>3AWST</v>
      </c>
      <c r="K22" s="258">
        <f>VLOOKUP($J22,IF($I22=7,Range_USA_HS,IF($I22=6,Range_USA_1x1,IF($I22=5,Range_USA_1x2,IF($I22=4,Range_USA_2x2_6P,IF($I22=3,Range_USA_2x2_5F,IF($I22=2,Range_RML, Range_R2L)))))),2,FALSE)</f>
        <v>0</v>
      </c>
      <c r="L22" s="258">
        <f>VLOOKUP($J22,IF($I22=7,Range_USA_HS,IF($I22=6,Range_USA_1x1,IF($I22=5,Range_USA_1x2,IF($I22=4,Range_USA_2x2_6P,IF($I22=3,Range_USA_2x2_5F,IF($I22=2,Range_RML, Range_R2L)))))),3,FALSE)</f>
        <v>20131</v>
      </c>
      <c r="M22" s="258">
        <f>VLOOKUP($J22,IF($I22=7,Range_USA_HS,IF($I22=6,Range_USA_1x1,IF($I22=5,Range_USA_1x2,IF($I22=4,Range_USA_2x2_6P,IF($I22=3,Range_USA_2x2_5F,IF($I22=2,Range_RML, Range_R2L)))))),4,FALSE)</f>
        <v>0</v>
      </c>
      <c r="N22" s="258">
        <f>VLOOKUP($J22,IF($I22=7,Range_USA_HS,IF($I22=6,Range_USA_1x1,IF($I22=5,Range_USA_1x2,IF($I22=4,Range_USA_2x2_6P,IF($I22=3,Range_USA_2x2_5F,IF($I22=2,Range_RML, Range_R2L)))))),5,FALSE)</f>
        <v>11000</v>
      </c>
      <c r="O22" s="258" t="b">
        <f t="shared" si="1"/>
        <v>1</v>
      </c>
      <c r="P22" s="258" t="b">
        <f t="shared" si="2"/>
        <v>1</v>
      </c>
    </row>
    <row r="23" spans="1:16" s="258" customFormat="1" ht="18" customHeight="1" x14ac:dyDescent="0.25">
      <c r="A23" s="240" t="str">
        <f>"1-Lane Roundabout"&amp;IF(AND(Input_FacilityType&lt;&gt;Notes!$A$34,D23=$A$19)," (No SPF/CMF Available)","")</f>
        <v>1-Lane Roundabout</v>
      </c>
      <c r="B23" s="437" t="s">
        <v>167</v>
      </c>
      <c r="C23" s="438"/>
      <c r="D23" s="314" t="s">
        <v>56</v>
      </c>
      <c r="E23" s="503" t="str">
        <f>IF(AND(Input_Include_R1="Yes",Input_Include_R2="Yes",D24&lt;&gt;D23),"WARNING: Roundabout Base Intersections selections do not match!","")</f>
        <v/>
      </c>
      <c r="F23" s="502" t="str">
        <f>IF(AND(Input_Include_R1="Yes",Input_Include_R2="Yes",D24&lt;&gt;D23),"Please remove one or both roundabouts or select matching base intersections.","")</f>
        <v/>
      </c>
      <c r="G23" s="241"/>
      <c r="H23" s="243"/>
      <c r="I23" s="258">
        <f>IF(Input_FacilityType=FacilityType_Label_Rural2Ln,1,IF(Input_FacilityType=FacilityType_Label_RuralMultiLn,2,IF(Input_FacilityType=FacilityType_Label_Urban,IF(Input_MajorApproachSpeed=Notes!$A$67,7,IF(Input_1Way2Way=Notes!$A$54,IF(Input_NumMajorLanes=Notes!$A$60,3,4),IF(Input_1Way2Way=Notes!$A$55,5,6))))))</f>
        <v>3</v>
      </c>
      <c r="J23" s="258" t="str">
        <f>IF(Input_NumLegs=Notes!$A$49,"4","3")&amp;"Leg"</f>
        <v>3Leg</v>
      </c>
      <c r="K23" s="258">
        <f>VLOOKUP($J23,Range_RAB1,2,FALSE)</f>
        <v>675</v>
      </c>
      <c r="L23" s="258">
        <f>VLOOKUP($J23,Range_RAB1,3,FALSE)</f>
        <v>17369</v>
      </c>
      <c r="M23" s="258">
        <f>VLOOKUP($J23,Range_RAB1,4,FALSE)</f>
        <v>409</v>
      </c>
      <c r="N23" s="258">
        <f>VLOOKUP($J23,Range_RAB1,5,FALSE)</f>
        <v>14000</v>
      </c>
      <c r="O23" s="258" t="b">
        <f t="shared" si="1"/>
        <v>0</v>
      </c>
      <c r="P23" s="258" t="b">
        <f t="shared" si="2"/>
        <v>0</v>
      </c>
    </row>
    <row r="24" spans="1:16" s="258" customFormat="1" ht="18" customHeight="1" x14ac:dyDescent="0.25">
      <c r="A24" s="240" t="str">
        <f>"2-Lane Roundabout"&amp;IF(Input_FacilityType&lt;&gt;Notes!$A$34," (No SPF/CMF Available)","")</f>
        <v>2-Lane Roundabout</v>
      </c>
      <c r="B24" s="437" t="s">
        <v>167</v>
      </c>
      <c r="C24" s="438"/>
      <c r="D24" s="314" t="s">
        <v>56</v>
      </c>
      <c r="E24" s="503"/>
      <c r="F24" s="502"/>
      <c r="G24" s="241"/>
      <c r="H24" s="243"/>
      <c r="I24" s="258">
        <f>IF(Input_FacilityType=FacilityType_Label_Rural2Ln,1,IF(Input_FacilityType=FacilityType_Label_RuralMultiLn,2,IF(Input_FacilityType=FacilityType_Label_Urban,IF(Input_MajorApproachSpeed=Notes!$A$67,7,IF(Input_1Way2Way=Notes!$A$54,IF(Input_NumMajorLanes=Notes!$A$60,3,4),IF(Input_1Way2Way=Notes!$A$55,5,6))))))</f>
        <v>3</v>
      </c>
      <c r="J24" s="258" t="str">
        <f>IF(Input_NumLegs=Notes!$A$49,"4","3")&amp;"Leg"</f>
        <v>3Leg</v>
      </c>
      <c r="K24" s="258">
        <f>VLOOKUP($J24,Range_RAB2,2,FALSE)</f>
        <v>1000</v>
      </c>
      <c r="L24" s="258">
        <f>VLOOKUP($J24,Range_RAB2,3,FALSE)</f>
        <v>22050</v>
      </c>
      <c r="M24" s="258">
        <f>VLOOKUP($J24,Range_RAB2,4,FALSE)</f>
        <v>476</v>
      </c>
      <c r="N24" s="258">
        <f>VLOOKUP($J24,Range_RAB2,5,FALSE)</f>
        <v>15108</v>
      </c>
      <c r="O24" s="258" t="b">
        <f t="shared" si="1"/>
        <v>0</v>
      </c>
      <c r="P24" s="258" t="b">
        <f t="shared" si="2"/>
        <v>0</v>
      </c>
    </row>
    <row r="25" spans="1:16" s="258" customFormat="1" ht="18" customHeight="1" x14ac:dyDescent="0.25">
      <c r="A25" s="240" t="s">
        <v>466</v>
      </c>
      <c r="B25" s="437" t="s">
        <v>167</v>
      </c>
      <c r="C25" s="438"/>
      <c r="D25" s="315" t="s">
        <v>43</v>
      </c>
      <c r="E25" s="230"/>
      <c r="F25" s="230"/>
      <c r="G25" s="230"/>
      <c r="H25" s="243"/>
    </row>
    <row r="26" spans="1:16" s="258" customFormat="1" ht="18" customHeight="1" x14ac:dyDescent="0.25">
      <c r="A26" s="240" t="s">
        <v>115</v>
      </c>
      <c r="B26" s="437" t="s">
        <v>167</v>
      </c>
      <c r="C26" s="438"/>
      <c r="D26" s="315" t="s">
        <v>43</v>
      </c>
      <c r="E26" s="230"/>
      <c r="F26" s="230"/>
      <c r="G26" s="230"/>
      <c r="H26" s="243"/>
    </row>
    <row r="27" spans="1:16" s="258" customFormat="1" ht="18" customHeight="1" x14ac:dyDescent="0.25">
      <c r="A27" s="240" t="s">
        <v>137</v>
      </c>
      <c r="B27" s="437" t="s">
        <v>167</v>
      </c>
      <c r="C27" s="438"/>
      <c r="D27" s="315" t="s">
        <v>43</v>
      </c>
      <c r="E27" s="230"/>
      <c r="F27" s="230"/>
      <c r="G27" s="230"/>
      <c r="H27" s="243"/>
    </row>
    <row r="28" spans="1:16" s="258" customFormat="1" ht="18" customHeight="1" x14ac:dyDescent="0.25">
      <c r="A28" s="240" t="s">
        <v>138</v>
      </c>
      <c r="B28" s="437" t="s">
        <v>167</v>
      </c>
      <c r="C28" s="438"/>
      <c r="D28" s="315" t="s">
        <v>56</v>
      </c>
      <c r="E28" s="230"/>
      <c r="F28" s="230"/>
      <c r="G28" s="230"/>
      <c r="H28" s="243"/>
    </row>
    <row r="29" spans="1:16" s="258" customFormat="1" ht="18" customHeight="1" x14ac:dyDescent="0.25">
      <c r="A29" s="240" t="s">
        <v>467</v>
      </c>
      <c r="B29" s="437" t="s">
        <v>167</v>
      </c>
      <c r="C29" s="438"/>
      <c r="D29" s="315" t="s">
        <v>43</v>
      </c>
      <c r="E29" s="230"/>
      <c r="F29" s="230"/>
      <c r="G29" s="230"/>
      <c r="H29" s="243"/>
    </row>
    <row r="30" spans="1:16" s="258" customFormat="1" ht="18" customHeight="1" x14ac:dyDescent="0.25">
      <c r="A30" s="240" t="s">
        <v>126</v>
      </c>
      <c r="B30" s="437" t="s">
        <v>89</v>
      </c>
      <c r="C30" s="438"/>
      <c r="D30" s="315" t="s">
        <v>43</v>
      </c>
      <c r="E30" s="230"/>
      <c r="F30" s="230"/>
      <c r="G30" s="230"/>
      <c r="H30" s="243"/>
    </row>
    <row r="31" spans="1:16" s="258" customFormat="1" ht="18" customHeight="1" x14ac:dyDescent="0.25">
      <c r="A31" s="240" t="s">
        <v>203</v>
      </c>
      <c r="B31" s="437" t="s">
        <v>89</v>
      </c>
      <c r="C31" s="438"/>
      <c r="D31" s="328" t="s">
        <v>43</v>
      </c>
      <c r="E31" s="326" t="str">
        <f>IF(Input_Include_O1=Notes!$Q$19,"(Select from Dropdown)","")</f>
        <v/>
      </c>
      <c r="F31" s="236"/>
      <c r="G31" s="236"/>
      <c r="H31" s="242"/>
    </row>
    <row r="32" spans="1:16" s="258" customFormat="1" ht="18" customHeight="1" x14ac:dyDescent="0.25">
      <c r="A32" s="240" t="s">
        <v>204</v>
      </c>
      <c r="B32" s="453" t="s">
        <v>89</v>
      </c>
      <c r="C32" s="453"/>
      <c r="D32" s="328" t="s">
        <v>56</v>
      </c>
      <c r="E32" s="326" t="str">
        <f>IF(Input_Include_O2=Notes!$Q$19,"(Select from Dropdown)","")</f>
        <v/>
      </c>
      <c r="F32" s="236"/>
      <c r="G32" s="236"/>
      <c r="H32" s="242"/>
    </row>
    <row r="33" spans="1:8" s="258" customFormat="1" ht="15" customHeight="1" x14ac:dyDescent="0.25">
      <c r="A33" s="253"/>
      <c r="B33" s="236"/>
      <c r="C33" s="236"/>
      <c r="D33" s="236"/>
      <c r="E33" s="236"/>
      <c r="F33" s="236"/>
      <c r="G33" s="236"/>
      <c r="H33" s="242"/>
    </row>
    <row r="34" spans="1:8" s="258" customFormat="1" ht="15" hidden="1" customHeight="1" x14ac:dyDescent="0.25">
      <c r="A34" s="253"/>
      <c r="B34" s="236"/>
      <c r="C34" s="236"/>
      <c r="D34" s="236"/>
      <c r="E34" s="236"/>
      <c r="F34" s="236"/>
      <c r="G34" s="236"/>
      <c r="H34" s="242"/>
    </row>
    <row r="35" spans="1:8" s="258" customFormat="1" ht="15" hidden="1" customHeight="1" x14ac:dyDescent="0.25">
      <c r="A35" s="253"/>
      <c r="B35" s="236"/>
      <c r="C35" s="236"/>
      <c r="D35" s="236"/>
      <c r="E35" s="236"/>
      <c r="F35" s="236"/>
      <c r="G35" s="236"/>
      <c r="H35" s="242"/>
    </row>
    <row r="36" spans="1:8" s="258" customFormat="1" ht="15" hidden="1" customHeight="1" x14ac:dyDescent="0.25">
      <c r="A36" s="253"/>
      <c r="B36" s="236"/>
      <c r="C36" s="236"/>
      <c r="D36" s="236"/>
      <c r="E36" s="236"/>
      <c r="F36" s="236"/>
      <c r="G36" s="236"/>
      <c r="H36" s="242"/>
    </row>
    <row r="37" spans="1:8" s="258" customFormat="1" ht="15" hidden="1" customHeight="1" x14ac:dyDescent="0.25">
      <c r="A37" s="253"/>
      <c r="B37" s="236"/>
      <c r="C37" s="236"/>
      <c r="D37" s="236"/>
      <c r="E37" s="236"/>
      <c r="F37" s="236"/>
      <c r="G37" s="236"/>
      <c r="H37" s="242"/>
    </row>
    <row r="38" spans="1:8" s="258" customFormat="1" ht="15" hidden="1" customHeight="1" x14ac:dyDescent="0.25">
      <c r="A38" s="253"/>
      <c r="B38" s="236"/>
      <c r="C38" s="236"/>
      <c r="D38" s="236"/>
      <c r="E38" s="236"/>
      <c r="F38" s="236"/>
      <c r="G38" s="236"/>
      <c r="H38" s="242"/>
    </row>
    <row r="39" spans="1:8" s="258" customFormat="1" ht="15" hidden="1" customHeight="1" x14ac:dyDescent="0.25">
      <c r="A39" s="253"/>
      <c r="B39" s="236"/>
      <c r="C39" s="236"/>
      <c r="D39" s="236"/>
      <c r="E39" s="236"/>
      <c r="F39" s="236"/>
      <c r="G39" s="236"/>
      <c r="H39" s="242"/>
    </row>
    <row r="40" spans="1:8" s="258" customFormat="1" ht="15" hidden="1" customHeight="1" x14ac:dyDescent="0.25">
      <c r="A40" s="253"/>
      <c r="B40" s="236"/>
      <c r="C40" s="236"/>
      <c r="D40" s="236"/>
      <c r="E40" s="236"/>
      <c r="F40" s="236"/>
      <c r="G40" s="236"/>
      <c r="H40" s="242"/>
    </row>
    <row r="41" spans="1:8" s="258" customFormat="1" ht="15" hidden="1" customHeight="1" x14ac:dyDescent="0.25">
      <c r="A41" s="253"/>
      <c r="B41" s="236"/>
      <c r="C41" s="236"/>
      <c r="D41" s="236"/>
      <c r="E41" s="236"/>
      <c r="F41" s="236"/>
      <c r="G41" s="236"/>
      <c r="H41" s="242"/>
    </row>
    <row r="42" spans="1:8" s="258" customFormat="1" ht="15" hidden="1" customHeight="1" x14ac:dyDescent="0.25">
      <c r="A42" s="253"/>
      <c r="B42" s="236"/>
      <c r="C42" s="236"/>
      <c r="D42" s="236"/>
      <c r="E42" s="236"/>
      <c r="F42" s="236"/>
      <c r="G42" s="236"/>
      <c r="H42" s="242"/>
    </row>
    <row r="43" spans="1:8" ht="15" hidden="1" customHeight="1" x14ac:dyDescent="0.25">
      <c r="A43" s="253"/>
      <c r="B43" s="236"/>
      <c r="C43" s="236"/>
      <c r="D43" s="236"/>
      <c r="E43" s="236"/>
      <c r="F43" s="236"/>
      <c r="G43" s="236"/>
      <c r="H43" s="242"/>
    </row>
    <row r="44" spans="1:8" ht="15" hidden="1" customHeight="1" x14ac:dyDescent="0.25">
      <c r="A44" s="450" t="s">
        <v>99</v>
      </c>
      <c r="B44" s="451"/>
      <c r="C44" s="452"/>
      <c r="D44" s="239" t="s">
        <v>100</v>
      </c>
      <c r="E44" s="326" t="s">
        <v>486</v>
      </c>
      <c r="F44" s="236"/>
      <c r="G44" s="236"/>
      <c r="H44" s="242"/>
    </row>
    <row r="45" spans="1:8" ht="15" hidden="1" customHeight="1" x14ac:dyDescent="0.25">
      <c r="A45" s="447" t="s">
        <v>130</v>
      </c>
      <c r="B45" s="448"/>
      <c r="C45" s="449"/>
      <c r="D45" s="317" t="s">
        <v>132</v>
      </c>
      <c r="E45" s="326" t="s">
        <v>486</v>
      </c>
      <c r="F45" s="236"/>
      <c r="G45" s="236"/>
      <c r="H45" s="242"/>
    </row>
    <row r="46" spans="1:8" ht="15" hidden="1" customHeight="1" x14ac:dyDescent="0.25">
      <c r="A46" s="254"/>
      <c r="B46" s="236"/>
      <c r="C46" s="236"/>
      <c r="D46" s="236"/>
      <c r="E46" s="236"/>
      <c r="F46" s="236"/>
      <c r="G46" s="236"/>
      <c r="H46" s="242"/>
    </row>
    <row r="47" spans="1:8" ht="15" hidden="1" customHeight="1" x14ac:dyDescent="0.25">
      <c r="A47" s="447" t="s">
        <v>316</v>
      </c>
      <c r="B47" s="448"/>
      <c r="C47" s="449"/>
      <c r="D47" s="231" t="str">
        <f>IF($D$44=Notes!$J$26,"NB","EB") &amp; " Ramp Terminal"</f>
        <v>NB Ramp Terminal</v>
      </c>
      <c r="E47" s="231" t="str">
        <f>IF($D$44=Notes!$J$26,"SB","WB") &amp; " Ramp Terminal"</f>
        <v>SB Ramp Terminal</v>
      </c>
      <c r="F47" s="236"/>
      <c r="G47" s="236"/>
      <c r="H47" s="242"/>
    </row>
    <row r="48" spans="1:8" ht="15" hidden="1" customHeight="1" x14ac:dyDescent="0.25">
      <c r="A48" s="439" t="s">
        <v>318</v>
      </c>
      <c r="B48" s="440"/>
      <c r="C48" s="441"/>
      <c r="D48" s="317"/>
      <c r="E48" s="317"/>
      <c r="F48" s="236"/>
      <c r="G48" s="236"/>
      <c r="H48" s="242"/>
    </row>
    <row r="49" spans="1:24" ht="15" hidden="1" customHeight="1" x14ac:dyDescent="0.25">
      <c r="A49" s="439" t="s">
        <v>319</v>
      </c>
      <c r="B49" s="440"/>
      <c r="C49" s="441"/>
      <c r="D49" s="317"/>
      <c r="E49" s="317"/>
      <c r="F49" s="236"/>
      <c r="G49" s="236"/>
      <c r="H49" s="242"/>
    </row>
    <row r="50" spans="1:24" ht="15" hidden="1" customHeight="1" x14ac:dyDescent="0.25">
      <c r="A50" s="439" t="s">
        <v>320</v>
      </c>
      <c r="B50" s="440"/>
      <c r="C50" s="441"/>
      <c r="D50" s="317"/>
      <c r="E50" s="317"/>
      <c r="F50" s="236"/>
      <c r="G50" s="236"/>
      <c r="H50" s="242"/>
    </row>
    <row r="51" spans="1:24" ht="15" hidden="1" customHeight="1" x14ac:dyDescent="0.25">
      <c r="A51" s="439" t="s">
        <v>367</v>
      </c>
      <c r="B51" s="440"/>
      <c r="C51" s="441"/>
      <c r="D51" s="317"/>
      <c r="E51" s="317"/>
      <c r="F51" s="236"/>
      <c r="G51" s="236"/>
      <c r="H51" s="242"/>
    </row>
    <row r="52" spans="1:24" ht="15" hidden="1" customHeight="1" x14ac:dyDescent="0.25">
      <c r="A52" s="447" t="s">
        <v>317</v>
      </c>
      <c r="B52" s="448"/>
      <c r="C52" s="449"/>
      <c r="D52" s="231" t="str">
        <f>IF($D$44=Notes!$J$26,"NB","EB") &amp; " Ramp Terminal"</f>
        <v>NB Ramp Terminal</v>
      </c>
      <c r="E52" s="231" t="str">
        <f>IF($D$44=Notes!$J$26,"SB","WB") &amp; " Ramp Terminal"</f>
        <v>SB Ramp Terminal</v>
      </c>
      <c r="F52" s="236"/>
      <c r="G52" s="236"/>
      <c r="H52" s="242"/>
    </row>
    <row r="53" spans="1:24" ht="15" hidden="1" customHeight="1" x14ac:dyDescent="0.25">
      <c r="A53" s="439" t="s">
        <v>318</v>
      </c>
      <c r="B53" s="440"/>
      <c r="C53" s="441"/>
      <c r="D53" s="339"/>
      <c r="E53" s="339"/>
      <c r="F53" s="454" t="s">
        <v>495</v>
      </c>
      <c r="G53" s="236"/>
      <c r="H53" s="242"/>
    </row>
    <row r="54" spans="1:24" ht="15" hidden="1" customHeight="1" x14ac:dyDescent="0.25">
      <c r="A54" s="439" t="s">
        <v>319</v>
      </c>
      <c r="B54" s="440"/>
      <c r="C54" s="441"/>
      <c r="D54" s="339"/>
      <c r="E54" s="339"/>
      <c r="F54" s="454"/>
      <c r="G54" s="236"/>
      <c r="H54" s="242"/>
    </row>
    <row r="55" spans="1:24" ht="15" hidden="1" customHeight="1" x14ac:dyDescent="0.25">
      <c r="A55" s="439" t="s">
        <v>320</v>
      </c>
      <c r="B55" s="440"/>
      <c r="C55" s="441"/>
      <c r="D55" s="339"/>
      <c r="E55" s="339"/>
      <c r="F55" s="454"/>
      <c r="G55" s="236"/>
      <c r="H55" s="242"/>
    </row>
    <row r="56" spans="1:24" ht="15" hidden="1" customHeight="1" thickBot="1" x14ac:dyDescent="0.3">
      <c r="A56" s="442" t="s">
        <v>367</v>
      </c>
      <c r="B56" s="443"/>
      <c r="C56" s="444"/>
      <c r="D56" s="340"/>
      <c r="E56" s="340"/>
      <c r="F56" s="455"/>
      <c r="G56" s="244"/>
      <c r="H56" s="245"/>
    </row>
    <row r="57" spans="1:24" ht="15" hidden="1" customHeight="1" x14ac:dyDescent="0.25">
      <c r="A57" s="257"/>
      <c r="B57" s="248"/>
      <c r="C57" s="248"/>
      <c r="D57" s="236"/>
      <c r="E57" s="236"/>
      <c r="F57" s="236"/>
      <c r="G57" s="236"/>
      <c r="H57" s="242"/>
    </row>
    <row r="58" spans="1:24" ht="15" hidden="1" customHeight="1" thickBot="1" x14ac:dyDescent="0.3">
      <c r="A58" s="257"/>
      <c r="B58" s="248"/>
      <c r="C58" s="248"/>
      <c r="D58" s="236"/>
      <c r="E58" s="236"/>
      <c r="F58" s="236"/>
      <c r="G58" s="236"/>
      <c r="H58" s="242"/>
    </row>
    <row r="59" spans="1:24" ht="15" hidden="1" customHeight="1" x14ac:dyDescent="0.25">
      <c r="A59" s="434" t="s">
        <v>72</v>
      </c>
      <c r="B59" s="435"/>
      <c r="C59" s="435"/>
      <c r="D59" s="435"/>
      <c r="E59" s="435"/>
      <c r="F59" s="435"/>
      <c r="G59" s="435"/>
      <c r="H59" s="436"/>
      <c r="K59" s="227" t="s">
        <v>387</v>
      </c>
      <c r="M59" s="227" t="s">
        <v>388</v>
      </c>
      <c r="O59" s="227" t="s">
        <v>389</v>
      </c>
      <c r="Q59" s="227" t="s">
        <v>390</v>
      </c>
      <c r="S59" s="227" t="s">
        <v>391</v>
      </c>
      <c r="U59" s="227" t="s">
        <v>392</v>
      </c>
      <c r="W59" s="227" t="s">
        <v>282</v>
      </c>
    </row>
    <row r="60" spans="1:24" ht="18" hidden="1" customHeight="1" x14ac:dyDescent="0.25">
      <c r="A60" s="246" t="s">
        <v>123</v>
      </c>
      <c r="B60" s="458" t="s">
        <v>140</v>
      </c>
      <c r="C60" s="459"/>
      <c r="D60" s="247" t="s">
        <v>208</v>
      </c>
      <c r="E60" s="432"/>
      <c r="F60" s="506"/>
      <c r="G60" s="432"/>
      <c r="H60" s="433"/>
      <c r="K60" s="227" t="s">
        <v>276</v>
      </c>
      <c r="L60" s="227" t="s">
        <v>277</v>
      </c>
      <c r="M60" s="227" t="s">
        <v>276</v>
      </c>
      <c r="N60" s="227" t="s">
        <v>277</v>
      </c>
      <c r="O60" s="227" t="s">
        <v>276</v>
      </c>
      <c r="P60" s="227" t="s">
        <v>277</v>
      </c>
      <c r="Q60" s="227" t="s">
        <v>276</v>
      </c>
      <c r="R60" s="227" t="s">
        <v>277</v>
      </c>
      <c r="S60" s="227" t="s">
        <v>281</v>
      </c>
      <c r="T60" s="227" t="s">
        <v>210</v>
      </c>
      <c r="U60" s="227" t="s">
        <v>281</v>
      </c>
      <c r="V60" s="227" t="s">
        <v>210</v>
      </c>
      <c r="W60" s="227" t="s">
        <v>281</v>
      </c>
      <c r="X60" s="227" t="s">
        <v>210</v>
      </c>
    </row>
    <row r="61" spans="1:24" ht="18" hidden="1" customHeight="1" x14ac:dyDescent="0.25">
      <c r="A61" s="240" t="s">
        <v>18</v>
      </c>
      <c r="B61" s="456" t="s">
        <v>167</v>
      </c>
      <c r="C61" s="457"/>
      <c r="D61" s="232" t="s">
        <v>209</v>
      </c>
      <c r="E61" s="241" t="str">
        <f>IF(NOT(ISNUMBER(K61)),"No SPF Available",IF(OR(NOT(IsChecked_RTI_D4TS),W61),"","Opening Year AADT Outside of SPF Development Range"))</f>
        <v>Opening Year AADT Outside of SPF Development Range</v>
      </c>
      <c r="F61" s="236"/>
      <c r="G61" s="241" t="str">
        <f>IF(NOT(ISNUMBER(L61)),"No SPF Available",IF(OR(NOT(Input_AnalysisYearType=Label_AnalysisYearType_OpenAndDesign),NOT(IsChecked_RTI_D4TS),X61),"","Design Year AADT Outside of SPF Development Range"))</f>
        <v/>
      </c>
      <c r="H61" s="242"/>
      <c r="K61" s="233">
        <f>Definitions!E24</f>
        <v>14000</v>
      </c>
      <c r="L61" s="233">
        <f>Definitions!F24</f>
        <v>60000</v>
      </c>
      <c r="M61" s="233">
        <f>Definitions!E26</f>
        <v>14000</v>
      </c>
      <c r="N61" s="233">
        <f>Definitions!F26</f>
        <v>60000</v>
      </c>
      <c r="O61" s="233">
        <f>Definitions!E28</f>
        <v>0</v>
      </c>
      <c r="P61" s="233">
        <f>Definitions!F28</f>
        <v>31000</v>
      </c>
      <c r="Q61" s="233">
        <f>Definitions!E30</f>
        <v>0</v>
      </c>
      <c r="R61" s="233">
        <f>Definitions!F30</f>
        <v>31000</v>
      </c>
      <c r="S61" s="227" t="b">
        <f>AND(Input_RTI_OAADTIn1&gt;=K61,Input_RTI_OAADTIn1&lt;=L61,Input_RTI_OAADTOut1&gt;=M61,Input_RTI_OAADTOut1&lt;=N61,Input_RTI_OAADTEx1&gt;=O61,Input_RTI_OAADTEx1&lt;=P61,Input_RTI_OAADTEn1&gt;=Q61,Input_RTI_OAADTEn1&lt;=R61)</f>
        <v>0</v>
      </c>
      <c r="T61" s="227" t="b">
        <f>AND(Input_RTI_DAADTIn1&gt;=K61,Input_RTI_DAADTIn1&lt;=L61,Input_RTI_DAADTOut1&gt;=M61,Input_RTI_DAADTOut1&lt;=N61,Input_RTI_DAADTEx1&gt;=O61,Input_RTI_DAADTEx1&lt;=P61,Input_RTI_DAADTEn1&gt;=Q61,Input_RTI_DAADTEn1&lt;=R61)</f>
        <v>0</v>
      </c>
      <c r="U61" s="227" t="b">
        <f>AND(Input_RTI_OAADTIn2&gt;=K61,Input_RTI_OAADTIn2&lt;=L61,Input_RTI_OAADTOut2&gt;=M61,Input_RTI_OAADTOut2&lt;=N61,Input_RTI_OAADTEx2&gt;=O61,Input_RTI_OAADTEx2&lt;=P61,Input_RTI_OAADTEn2&gt;=Q61,Input_RTI_OAADTEn2&lt;=R61)</f>
        <v>0</v>
      </c>
      <c r="V61" s="227" t="b">
        <f>AND(Input_RTI_DAADTIn2&gt;=K61,Input_RTI_DAADTIn2&lt;=L61,Input_RTI_DAADTOut2&gt;=M61,Input_RTI_DAADTOut2&lt;=N61,Input_RTI_DAADTEx2&gt;=O61,Input_RTI_DAADTEx2&lt;=P61,Input_RTI_DAADTEn2&gt;=Q61,Input_RTI_DAADTEn2&lt;=R61)</f>
        <v>0</v>
      </c>
      <c r="W61" s="227" t="b">
        <f>AND(S61,U61)</f>
        <v>0</v>
      </c>
      <c r="X61" s="227" t="b">
        <f>AND(T61,V61)</f>
        <v>0</v>
      </c>
    </row>
    <row r="62" spans="1:24" ht="18" hidden="1" customHeight="1" x14ac:dyDescent="0.25">
      <c r="A62" s="240" t="s">
        <v>297</v>
      </c>
      <c r="B62" s="456" t="s">
        <v>167</v>
      </c>
      <c r="C62" s="457"/>
      <c r="D62" s="232" t="s">
        <v>209</v>
      </c>
      <c r="E62" s="241" t="str">
        <f>IF(NOT(ISNUMBER(K62)),"No SPF Available",IF(OR(NOT(IsChecked_RTI_D4TSA),W62),"","Opening Year AADT Outside of SPF Development Range"))</f>
        <v>Opening Year AADT Outside of SPF Development Range</v>
      </c>
      <c r="F62" s="236"/>
      <c r="G62" s="241" t="str">
        <f>IF(NOT(ISNUMBER(L62)),"No SPF Available",IF(OR(NOT(Input_AnalysisYearType=Label_AnalysisYearType_OpenAndDesign),NOT(IsChecked_RTI_D4TSA),X62),"","Design Year AADT Outside of SPF Development Range"))</f>
        <v/>
      </c>
      <c r="H62" s="242"/>
      <c r="K62" s="233">
        <f>K61</f>
        <v>14000</v>
      </c>
      <c r="L62" s="233">
        <f t="shared" ref="L62:R62" si="3">L61</f>
        <v>60000</v>
      </c>
      <c r="M62" s="233">
        <f t="shared" si="3"/>
        <v>14000</v>
      </c>
      <c r="N62" s="233">
        <f t="shared" si="3"/>
        <v>60000</v>
      </c>
      <c r="O62" s="233">
        <f t="shared" si="3"/>
        <v>0</v>
      </c>
      <c r="P62" s="233">
        <f t="shared" si="3"/>
        <v>31000</v>
      </c>
      <c r="Q62" s="233">
        <f t="shared" si="3"/>
        <v>0</v>
      </c>
      <c r="R62" s="233">
        <f t="shared" si="3"/>
        <v>31000</v>
      </c>
      <c r="S62" s="233" t="b">
        <f t="shared" ref="S62" si="4">S61</f>
        <v>0</v>
      </c>
      <c r="T62" s="233" t="b">
        <f t="shared" ref="T62" si="5">T61</f>
        <v>0</v>
      </c>
      <c r="U62" s="233" t="b">
        <f t="shared" ref="U62" si="6">U61</f>
        <v>0</v>
      </c>
      <c r="V62" s="233" t="b">
        <f t="shared" ref="V62" si="7">V61</f>
        <v>0</v>
      </c>
      <c r="W62" s="233" t="b">
        <f t="shared" ref="W62" si="8">W61</f>
        <v>0</v>
      </c>
      <c r="X62" s="233" t="b">
        <f t="shared" ref="X62" si="9">X61</f>
        <v>0</v>
      </c>
    </row>
    <row r="63" spans="1:24" ht="18" hidden="1" customHeight="1" x14ac:dyDescent="0.25">
      <c r="A63" s="240" t="s">
        <v>142</v>
      </c>
      <c r="B63" s="456" t="s">
        <v>167</v>
      </c>
      <c r="C63" s="457"/>
      <c r="D63" s="232" t="s">
        <v>209</v>
      </c>
      <c r="E63" s="249"/>
      <c r="F63" s="236"/>
      <c r="G63" s="236"/>
      <c r="H63" s="242"/>
    </row>
    <row r="64" spans="1:24" ht="18" hidden="1" customHeight="1" x14ac:dyDescent="0.25">
      <c r="A64" s="240" t="s">
        <v>28</v>
      </c>
      <c r="B64" s="456" t="s">
        <v>89</v>
      </c>
      <c r="C64" s="457"/>
      <c r="D64" s="232" t="s">
        <v>209</v>
      </c>
      <c r="E64" s="255" t="s">
        <v>434</v>
      </c>
      <c r="F64" s="236"/>
      <c r="G64" s="236"/>
      <c r="H64" s="242"/>
    </row>
    <row r="65" spans="1:24" ht="18" hidden="1" customHeight="1" x14ac:dyDescent="0.25">
      <c r="A65" s="240" t="s">
        <v>29</v>
      </c>
      <c r="B65" s="456" t="s">
        <v>167</v>
      </c>
      <c r="C65" s="457"/>
      <c r="D65" s="232" t="s">
        <v>209</v>
      </c>
      <c r="E65" s="241" t="str">
        <f>IF(NOT(ISNUMBER(K65)),"No SPF Available",IF(OR(NOT(IsChecked_RTI_D4MS),W65),"","Opening Year AADT Outside of SPF Development Range"))</f>
        <v/>
      </c>
      <c r="F65" s="236"/>
      <c r="G65" s="241" t="str">
        <f>IF(NOT(ISNUMBER(L65)),"No SPF Available",IF(OR(NOT(Input_AnalysisYearType=Label_AnalysisYearType_OpenAndDesign),NOT(IsChecked_RTI_D4MS),X65),"","Design Year AADT Outside of SPF Development Range"))</f>
        <v/>
      </c>
      <c r="H65" s="242"/>
      <c r="K65" s="233">
        <f>Definitions!E23</f>
        <v>0</v>
      </c>
      <c r="L65" s="233">
        <f>Definitions!F23</f>
        <v>14000</v>
      </c>
      <c r="M65" s="233">
        <f>Definitions!E25</f>
        <v>0</v>
      </c>
      <c r="N65" s="233">
        <f>Definitions!F25</f>
        <v>14000</v>
      </c>
      <c r="O65" s="233">
        <f>Definitions!E27</f>
        <v>0</v>
      </c>
      <c r="P65" s="233">
        <f>Definitions!F27</f>
        <v>10000</v>
      </c>
      <c r="Q65" s="233">
        <f>Definitions!E29</f>
        <v>0</v>
      </c>
      <c r="R65" s="233">
        <f>Definitions!F29</f>
        <v>10000</v>
      </c>
      <c r="S65" s="227" t="b">
        <f>AND(Input_RTI_OAADTIn1&gt;=K65,Input_RTI_OAADTIn1&lt;=L65,Input_RTI_OAADTOut1&gt;=M65,Input_RTI_OAADTOut1&lt;=N65,Input_RTI_OAADTEx1&gt;=O65,Input_RTI_OAADTEx1&lt;=P65,Input_RTI_OAADTEn1&gt;=Q65,Input_RTI_OAADTEn1&lt;=R65)</f>
        <v>1</v>
      </c>
      <c r="T65" s="227" t="b">
        <f>AND(Input_RTI_DAADTIn1&gt;=K65,Input_RTI_DAADTIn1&lt;=L65,Input_RTI_DAADTOut1&gt;=M65,Input_RTI_DAADTOut1&lt;=N65,Input_RTI_DAADTEx1&gt;=O65,Input_RTI_DAADTEx1&lt;=P65,Input_RTI_DAADTEn1&gt;=Q65,Input_RTI_DAADTEn1&lt;=R65)</f>
        <v>1</v>
      </c>
      <c r="U65" s="227" t="b">
        <f>AND(Input_RTI_OAADTIn2&gt;=K65,Input_RTI_OAADTIn2&lt;=L65,Input_RTI_OAADTOut2&gt;=M65,Input_RTI_OAADTOut2&lt;=N65,Input_RTI_OAADTEx2&gt;=O65,Input_RTI_OAADTEx2&lt;=P65,Input_RTI_OAADTEn2&gt;=Q65,Input_RTI_OAADTEn2&lt;=R65)</f>
        <v>1</v>
      </c>
      <c r="V65" s="227" t="b">
        <f>AND(Input_RTI_DAADTIn2&gt;=K65,Input_RTI_DAADTIn2&lt;=L65,Input_RTI_DAADTOut2&gt;=M65,Input_RTI_DAADTOut2&lt;=N65,Input_RTI_DAADTEx2&gt;=O65,Input_RTI_DAADTEx2&lt;=P65,Input_RTI_DAADTEn2&gt;=Q65,Input_RTI_DAADTEn2&lt;=R65)</f>
        <v>1</v>
      </c>
      <c r="W65" s="227" t="b">
        <f>AND(S65,U65)</f>
        <v>1</v>
      </c>
      <c r="X65" s="227" t="b">
        <f>AND(T65,V65)</f>
        <v>1</v>
      </c>
    </row>
    <row r="66" spans="1:24" ht="18" hidden="1" customHeight="1" x14ac:dyDescent="0.25">
      <c r="A66" s="240" t="str">
        <f>"1-lane Roundabout"&amp;IF(AND(Input_RTI_AreaType=Notes!A38,OR(Input_RTI_R1_BaseIntx=Label_RTI_D4TS,Input_RTI_R1_BaseIntx=Label_RTI_D4TSA))," (No SPF/CMF Available)","")</f>
        <v>1-lane Roundabout (No SPF/CMF Available)</v>
      </c>
      <c r="B66" s="456" t="s">
        <v>89</v>
      </c>
      <c r="C66" s="457"/>
      <c r="D66" s="234" t="s">
        <v>18</v>
      </c>
      <c r="E66" s="503" t="str">
        <f>IF(AND(Input_Include_RTI_R1="Yes",Input_Include_RTI_R2="Yes",D67&lt;&gt;D66),"WARNING: Roundabout Base Intersections selections do not match!","")</f>
        <v/>
      </c>
      <c r="F66" s="502" t="str">
        <f>IF(AND(Input_Include_RTI_R1="Yes",Input_Include_RTI_R2="Yes",D67&lt;&gt;D66),"Please remove one or both roundabouts or select matching base intersections.","")</f>
        <v/>
      </c>
      <c r="G66" s="236"/>
      <c r="H66" s="242"/>
    </row>
    <row r="67" spans="1:24" ht="18" hidden="1" customHeight="1" x14ac:dyDescent="0.25">
      <c r="A67" s="240" t="str">
        <f>"2-lane Roundabout"&amp;IF(Input_RTI_AreaType=Notes!A38," (No SPF/CMF Available)","")</f>
        <v>2-lane Roundabout (No SPF/CMF Available)</v>
      </c>
      <c r="B67" s="456" t="s">
        <v>89</v>
      </c>
      <c r="C67" s="457"/>
      <c r="D67" s="234" t="s">
        <v>18</v>
      </c>
      <c r="E67" s="503"/>
      <c r="F67" s="502"/>
      <c r="G67" s="236"/>
      <c r="H67" s="242"/>
    </row>
    <row r="68" spans="1:24" ht="18" hidden="1" customHeight="1" x14ac:dyDescent="0.25">
      <c r="A68" s="240" t="s">
        <v>203</v>
      </c>
      <c r="B68" s="456" t="s">
        <v>89</v>
      </c>
      <c r="C68" s="457"/>
      <c r="D68" s="232" t="str">
        <f>A61</f>
        <v>Conventional Traffic Signal</v>
      </c>
      <c r="E68" s="326" t="str">
        <f>IF(Input_Include_RTI_O1=Notes!$Q$19,"(Select from Dropdown)","")</f>
        <v/>
      </c>
      <c r="F68" s="235"/>
      <c r="G68" s="236"/>
      <c r="H68" s="242"/>
    </row>
    <row r="69" spans="1:24" ht="18" hidden="1" customHeight="1" x14ac:dyDescent="0.25">
      <c r="A69" s="240" t="s">
        <v>204</v>
      </c>
      <c r="B69" s="456" t="s">
        <v>89</v>
      </c>
      <c r="C69" s="457"/>
      <c r="D69" s="232" t="s">
        <v>29</v>
      </c>
      <c r="E69" s="326" t="str">
        <f>IF(Input_Include_RTI_O2=Notes!$Q$19,"(Select from Dropdown)","")</f>
        <v/>
      </c>
      <c r="F69" s="236"/>
      <c r="G69" s="236"/>
      <c r="H69" s="242"/>
    </row>
    <row r="70" spans="1:24" hidden="1" x14ac:dyDescent="0.25">
      <c r="A70" s="254"/>
      <c r="B70" s="236"/>
      <c r="C70" s="236"/>
      <c r="D70" s="236"/>
      <c r="E70" s="236"/>
      <c r="F70" s="236"/>
      <c r="G70" s="236"/>
      <c r="H70" s="242"/>
    </row>
    <row r="71" spans="1:24" hidden="1" x14ac:dyDescent="0.25">
      <c r="A71" s="254"/>
      <c r="B71" s="236"/>
      <c r="C71" s="236"/>
      <c r="D71" s="236"/>
      <c r="E71" s="236"/>
      <c r="F71" s="236"/>
      <c r="G71" s="236"/>
      <c r="H71" s="242"/>
    </row>
    <row r="72" spans="1:24" hidden="1" x14ac:dyDescent="0.25">
      <c r="A72" s="254"/>
      <c r="B72" s="236"/>
      <c r="C72" s="236"/>
      <c r="D72" s="236"/>
      <c r="E72" s="237"/>
      <c r="F72" s="237"/>
      <c r="G72" s="236"/>
      <c r="H72" s="242"/>
    </row>
    <row r="73" spans="1:24" hidden="1" x14ac:dyDescent="0.25">
      <c r="A73" s="254"/>
      <c r="B73" s="236"/>
      <c r="C73" s="236"/>
      <c r="D73" s="236"/>
      <c r="E73" s="237"/>
      <c r="F73" s="237"/>
      <c r="G73" s="236"/>
      <c r="H73" s="242"/>
    </row>
    <row r="74" spans="1:24" hidden="1" x14ac:dyDescent="0.25">
      <c r="A74" s="254"/>
      <c r="B74" s="236"/>
      <c r="C74" s="236"/>
      <c r="D74" s="236"/>
      <c r="E74" s="237"/>
      <c r="F74" s="237"/>
      <c r="G74" s="236"/>
      <c r="H74" s="242"/>
    </row>
    <row r="75" spans="1:24" hidden="1" x14ac:dyDescent="0.25">
      <c r="A75" s="254"/>
      <c r="B75" s="236"/>
      <c r="C75" s="236"/>
      <c r="D75" s="236"/>
      <c r="E75" s="237"/>
      <c r="F75" s="237"/>
      <c r="G75" s="236"/>
      <c r="H75" s="242"/>
    </row>
    <row r="76" spans="1:24" x14ac:dyDescent="0.25">
      <c r="A76" s="254"/>
      <c r="B76" s="236"/>
      <c r="C76" s="236"/>
      <c r="D76" s="236"/>
      <c r="E76" s="495" t="s">
        <v>437</v>
      </c>
      <c r="F76" s="495"/>
      <c r="G76" s="495"/>
      <c r="H76" s="496"/>
    </row>
    <row r="77" spans="1:24" x14ac:dyDescent="0.25">
      <c r="A77" s="254"/>
      <c r="B77" s="236"/>
      <c r="C77" s="236"/>
      <c r="D77" s="236"/>
      <c r="E77" s="495"/>
      <c r="F77" s="495"/>
      <c r="G77" s="495"/>
      <c r="H77" s="496"/>
    </row>
    <row r="78" spans="1:24" ht="14.4" thickBot="1" x14ac:dyDescent="0.3">
      <c r="A78" s="256"/>
      <c r="B78" s="244"/>
      <c r="C78" s="244"/>
      <c r="D78" s="244"/>
      <c r="E78" s="497"/>
      <c r="F78" s="497"/>
      <c r="G78" s="497"/>
      <c r="H78" s="498"/>
    </row>
    <row r="79" spans="1:24" ht="7.2" customHeight="1" x14ac:dyDescent="0.25">
      <c r="A79" s="236"/>
      <c r="B79" s="236"/>
      <c r="C79" s="236"/>
      <c r="D79" s="236"/>
      <c r="E79" s="236"/>
      <c r="F79" s="236"/>
      <c r="G79" s="236"/>
    </row>
    <row r="80" spans="1:24" hidden="1" x14ac:dyDescent="0.25">
      <c r="A80" s="236"/>
      <c r="B80" s="236"/>
      <c r="C80" s="236"/>
      <c r="D80" s="236"/>
      <c r="E80" s="236"/>
      <c r="F80" s="236"/>
      <c r="G80" s="236"/>
    </row>
    <row r="81" spans="1:7" hidden="1" x14ac:dyDescent="0.25">
      <c r="A81" s="236"/>
      <c r="B81" s="236"/>
      <c r="C81" s="236"/>
      <c r="D81" s="236"/>
      <c r="E81" s="236"/>
      <c r="F81" s="236"/>
      <c r="G81" s="236"/>
    </row>
    <row r="82" spans="1:7" hidden="1" x14ac:dyDescent="0.25">
      <c r="A82" s="236"/>
      <c r="B82" s="236"/>
      <c r="C82" s="236"/>
      <c r="D82" s="236"/>
      <c r="F82" s="236"/>
      <c r="G82" s="236"/>
    </row>
    <row r="83" spans="1:7" hidden="1" x14ac:dyDescent="0.25">
      <c r="A83" s="236"/>
      <c r="B83" s="236"/>
      <c r="C83" s="236"/>
      <c r="D83" s="236"/>
      <c r="E83" s="236"/>
      <c r="F83" s="236"/>
      <c r="G83" s="236"/>
    </row>
    <row r="84" spans="1:7" hidden="1" x14ac:dyDescent="0.25">
      <c r="A84" s="236"/>
      <c r="B84" s="236"/>
      <c r="C84" s="236"/>
      <c r="D84" s="236"/>
      <c r="E84" s="236"/>
      <c r="F84" s="236"/>
      <c r="G84" s="236"/>
    </row>
    <row r="85" spans="1:7" hidden="1" x14ac:dyDescent="0.25">
      <c r="A85" s="236"/>
      <c r="B85" s="236"/>
      <c r="C85" s="236"/>
      <c r="D85" s="236"/>
      <c r="E85" s="236"/>
      <c r="F85" s="236"/>
      <c r="G85" s="236"/>
    </row>
    <row r="86" spans="1:7" hidden="1" x14ac:dyDescent="0.25">
      <c r="A86" s="236"/>
      <c r="B86" s="236"/>
      <c r="C86" s="236"/>
      <c r="D86" s="236"/>
      <c r="E86" s="236"/>
      <c r="F86" s="236"/>
      <c r="G86" s="236"/>
    </row>
    <row r="87" spans="1:7" hidden="1" x14ac:dyDescent="0.25">
      <c r="A87" s="236"/>
      <c r="B87" s="236"/>
      <c r="C87" s="236"/>
      <c r="D87" s="236"/>
      <c r="E87" s="236"/>
      <c r="F87" s="236"/>
      <c r="G87" s="236"/>
    </row>
    <row r="88" spans="1:7" hidden="1" x14ac:dyDescent="0.25">
      <c r="A88" s="236"/>
      <c r="B88" s="236"/>
      <c r="C88" s="236"/>
      <c r="D88" s="236"/>
      <c r="E88" s="237"/>
      <c r="F88" s="237"/>
      <c r="G88" s="236"/>
    </row>
    <row r="89" spans="1:7" hidden="1" x14ac:dyDescent="0.25">
      <c r="A89" s="236"/>
      <c r="B89" s="236"/>
      <c r="C89" s="236"/>
      <c r="D89" s="236"/>
      <c r="E89" s="237"/>
      <c r="F89" s="237"/>
      <c r="G89" s="236"/>
    </row>
    <row r="90" spans="1:7" hidden="1" x14ac:dyDescent="0.25">
      <c r="A90" s="236"/>
      <c r="B90" s="236"/>
      <c r="C90" s="236"/>
      <c r="D90" s="236"/>
      <c r="E90" s="237"/>
      <c r="F90" s="237"/>
      <c r="G90" s="236"/>
    </row>
    <row r="91" spans="1:7" hidden="1" x14ac:dyDescent="0.25">
      <c r="A91" s="236"/>
      <c r="B91" s="236"/>
      <c r="C91" s="236"/>
      <c r="D91" s="236"/>
      <c r="E91" s="237"/>
      <c r="F91" s="237"/>
      <c r="G91" s="236"/>
    </row>
    <row r="92" spans="1:7" hidden="1" x14ac:dyDescent="0.25">
      <c r="A92" s="236"/>
      <c r="B92" s="236"/>
      <c r="C92" s="236"/>
      <c r="D92" s="236"/>
      <c r="E92" s="237"/>
      <c r="F92" s="237"/>
    </row>
    <row r="93" spans="1:7" hidden="1" x14ac:dyDescent="0.25">
      <c r="A93" s="236"/>
      <c r="B93" s="236"/>
      <c r="C93" s="236"/>
      <c r="D93" s="236"/>
      <c r="E93" s="237"/>
      <c r="F93" s="237"/>
      <c r="G93" s="236"/>
    </row>
    <row r="94" spans="1:7" hidden="1" x14ac:dyDescent="0.25">
      <c r="A94" s="236"/>
      <c r="B94" s="236"/>
      <c r="C94" s="236"/>
      <c r="D94" s="236"/>
      <c r="E94" s="237"/>
      <c r="F94" s="237"/>
      <c r="G94" s="236"/>
    </row>
    <row r="95" spans="1:7" hidden="1" x14ac:dyDescent="0.25">
      <c r="A95" s="236"/>
      <c r="B95" s="236"/>
      <c r="C95" s="236"/>
      <c r="D95" s="236"/>
      <c r="E95" s="237"/>
      <c r="F95" s="237"/>
      <c r="G95" s="236"/>
    </row>
    <row r="96" spans="1:7" hidden="1" x14ac:dyDescent="0.25">
      <c r="A96" s="236"/>
      <c r="B96" s="236"/>
      <c r="C96" s="236"/>
      <c r="D96" s="236"/>
      <c r="E96" s="237"/>
      <c r="F96" s="237"/>
      <c r="G96" s="236"/>
    </row>
    <row r="97" spans="1:7" hidden="1" x14ac:dyDescent="0.25">
      <c r="A97" s="236"/>
      <c r="B97" s="236"/>
      <c r="C97" s="236"/>
      <c r="D97" s="236"/>
      <c r="E97" s="237"/>
      <c r="F97" s="237"/>
      <c r="G97" s="236"/>
    </row>
    <row r="98" spans="1:7" hidden="1" x14ac:dyDescent="0.25">
      <c r="A98" s="236"/>
      <c r="B98" s="236"/>
      <c r="C98" s="236"/>
      <c r="D98" s="236"/>
      <c r="E98" s="237"/>
      <c r="F98" s="237"/>
      <c r="G98" s="236"/>
    </row>
    <row r="99" spans="1:7" hidden="1" x14ac:dyDescent="0.25">
      <c r="A99" s="236"/>
      <c r="B99" s="236"/>
      <c r="C99" s="236"/>
      <c r="D99" s="236"/>
      <c r="E99" s="237"/>
      <c r="F99" s="237"/>
      <c r="G99" s="236"/>
    </row>
    <row r="100" spans="1:7" hidden="1" x14ac:dyDescent="0.25">
      <c r="A100" s="236"/>
      <c r="B100" s="236"/>
      <c r="C100" s="236"/>
      <c r="D100" s="236"/>
      <c r="E100" s="237"/>
      <c r="F100" s="237"/>
      <c r="G100" s="236"/>
    </row>
    <row r="101" spans="1:7" hidden="1" x14ac:dyDescent="0.25">
      <c r="A101" s="236"/>
      <c r="B101" s="236"/>
      <c r="C101" s="236"/>
      <c r="D101" s="236"/>
      <c r="E101" s="237"/>
      <c r="F101" s="237"/>
      <c r="G101" s="236"/>
    </row>
    <row r="102" spans="1:7" hidden="1" x14ac:dyDescent="0.25">
      <c r="A102" s="236"/>
      <c r="B102" s="236"/>
      <c r="C102" s="236"/>
      <c r="D102" s="236"/>
      <c r="E102" s="237"/>
      <c r="F102" s="237"/>
      <c r="G102" s="236"/>
    </row>
    <row r="103" spans="1:7" hidden="1" x14ac:dyDescent="0.25">
      <c r="A103" s="236"/>
      <c r="B103" s="236"/>
      <c r="C103" s="236"/>
      <c r="D103" s="236"/>
      <c r="E103" s="236"/>
      <c r="F103" s="236"/>
      <c r="G103" s="236"/>
    </row>
    <row r="104" spans="1:7" hidden="1" x14ac:dyDescent="0.25">
      <c r="A104" s="236"/>
      <c r="B104" s="236"/>
      <c r="C104" s="236"/>
      <c r="D104" s="236"/>
      <c r="E104" s="236"/>
      <c r="F104" s="236"/>
      <c r="G104" s="236"/>
    </row>
    <row r="105" spans="1:7" hidden="1" x14ac:dyDescent="0.25">
      <c r="A105" s="236"/>
      <c r="B105" s="236"/>
      <c r="C105" s="236"/>
      <c r="D105" s="236"/>
      <c r="E105" s="236"/>
      <c r="F105" s="236"/>
      <c r="G105" s="236"/>
    </row>
    <row r="106" spans="1:7" hidden="1" x14ac:dyDescent="0.25">
      <c r="A106" s="236"/>
      <c r="B106" s="236"/>
      <c r="C106" s="236"/>
      <c r="D106" s="236"/>
      <c r="E106" s="236"/>
      <c r="F106" s="236"/>
      <c r="G106" s="236"/>
    </row>
    <row r="107" spans="1:7" hidden="1" x14ac:dyDescent="0.25">
      <c r="A107" s="236"/>
      <c r="B107" s="236"/>
      <c r="C107" s="236"/>
      <c r="D107" s="236"/>
      <c r="E107" s="236"/>
      <c r="F107" s="236"/>
      <c r="G107" s="236"/>
    </row>
    <row r="108" spans="1:7" hidden="1" x14ac:dyDescent="0.25">
      <c r="A108" s="236"/>
      <c r="B108" s="236"/>
      <c r="C108" s="236"/>
      <c r="D108" s="236"/>
      <c r="E108" s="236"/>
      <c r="F108" s="236"/>
      <c r="G108" s="236"/>
    </row>
    <row r="109" spans="1:7" hidden="1" x14ac:dyDescent="0.25">
      <c r="A109" s="236"/>
      <c r="B109" s="236"/>
      <c r="C109" s="236"/>
      <c r="D109" s="236"/>
      <c r="E109" s="236"/>
      <c r="F109" s="236"/>
      <c r="G109" s="236"/>
    </row>
    <row r="110" spans="1:7" hidden="1" x14ac:dyDescent="0.25">
      <c r="B110" s="236"/>
      <c r="C110" s="236"/>
      <c r="D110" s="236"/>
      <c r="E110" s="236"/>
      <c r="F110" s="236"/>
      <c r="G110" s="236"/>
    </row>
  </sheetData>
  <sheetProtection algorithmName="SHA-512" hashValue="3GAwyx7WgX0pqjn4TUuYEkgIeFfwzqGFZG85Oj0pQ4gVgRAO5IChHWBfkFSJ9eMl4T+FIZ/u2oyw3jWcnqjA/Q==" saltValue="hDBzbvODpnMA4a48tVoWqg==" spinCount="100000" sheet="1" objects="1" scenarios="1" formatCells="0" formatColumns="0" formatRows="0"/>
  <mergeCells count="72">
    <mergeCell ref="E76:H78"/>
    <mergeCell ref="A17:H17"/>
    <mergeCell ref="F23:F24"/>
    <mergeCell ref="E66:E67"/>
    <mergeCell ref="F66:F67"/>
    <mergeCell ref="B18:C18"/>
    <mergeCell ref="B19:C19"/>
    <mergeCell ref="B21:C21"/>
    <mergeCell ref="B22:C22"/>
    <mergeCell ref="B23:C23"/>
    <mergeCell ref="B24:C24"/>
    <mergeCell ref="B20:C20"/>
    <mergeCell ref="E18:F18"/>
    <mergeCell ref="E60:F60"/>
    <mergeCell ref="B28:C28"/>
    <mergeCell ref="E23:E24"/>
    <mergeCell ref="A9:C9"/>
    <mergeCell ref="A1:H1"/>
    <mergeCell ref="A2:H2"/>
    <mergeCell ref="A3:C3"/>
    <mergeCell ref="A5:C5"/>
    <mergeCell ref="A6:C6"/>
    <mergeCell ref="A4:C4"/>
    <mergeCell ref="E5:H5"/>
    <mergeCell ref="E6:H6"/>
    <mergeCell ref="A8:C8"/>
    <mergeCell ref="A7:C7"/>
    <mergeCell ref="E14:H14"/>
    <mergeCell ref="E15:H15"/>
    <mergeCell ref="E16:H16"/>
    <mergeCell ref="E12:H12"/>
    <mergeCell ref="A10:C10"/>
    <mergeCell ref="A11:C11"/>
    <mergeCell ref="A12:C12"/>
    <mergeCell ref="A15:C15"/>
    <mergeCell ref="A16:C16"/>
    <mergeCell ref="A13:C13"/>
    <mergeCell ref="A14:C14"/>
    <mergeCell ref="E13:H13"/>
    <mergeCell ref="B68:C68"/>
    <mergeCell ref="B69:C69"/>
    <mergeCell ref="B60:C60"/>
    <mergeCell ref="B61:C61"/>
    <mergeCell ref="B63:C63"/>
    <mergeCell ref="B64:C64"/>
    <mergeCell ref="B62:C62"/>
    <mergeCell ref="B66:C66"/>
    <mergeCell ref="B67:C67"/>
    <mergeCell ref="B65:C65"/>
    <mergeCell ref="G18:H18"/>
    <mergeCell ref="A52:C52"/>
    <mergeCell ref="A53:C53"/>
    <mergeCell ref="A50:C50"/>
    <mergeCell ref="A44:C44"/>
    <mergeCell ref="A49:C49"/>
    <mergeCell ref="A51:C51"/>
    <mergeCell ref="A47:C47"/>
    <mergeCell ref="A48:C48"/>
    <mergeCell ref="A45:C45"/>
    <mergeCell ref="B31:C31"/>
    <mergeCell ref="B32:C32"/>
    <mergeCell ref="B26:C26"/>
    <mergeCell ref="B27:C27"/>
    <mergeCell ref="F53:F56"/>
    <mergeCell ref="G60:H60"/>
    <mergeCell ref="A59:H59"/>
    <mergeCell ref="B30:C30"/>
    <mergeCell ref="B25:C25"/>
    <mergeCell ref="A54:C54"/>
    <mergeCell ref="A55:C55"/>
    <mergeCell ref="A56:C56"/>
    <mergeCell ref="B29:C29"/>
  </mergeCells>
  <conditionalFormatting sqref="D66">
    <cfRule type="expression" dxfId="45" priority="7">
      <formula>$B$66="No"</formula>
    </cfRule>
    <cfRule type="expression" dxfId="44" priority="21">
      <formula>$B$66="Yes"</formula>
    </cfRule>
  </conditionalFormatting>
  <conditionalFormatting sqref="D68:D69">
    <cfRule type="expression" dxfId="43" priority="20">
      <formula>$B68="Yes"</formula>
    </cfRule>
  </conditionalFormatting>
  <conditionalFormatting sqref="D23:F24">
    <cfRule type="expression" dxfId="42" priority="16">
      <formula>AND(Input_Include_R1="Yes",Input_Include_R2="Yes",$D$24&lt;&gt;$D$23)</formula>
    </cfRule>
  </conditionalFormatting>
  <conditionalFormatting sqref="D24">
    <cfRule type="expression" dxfId="41" priority="15">
      <formula>$B$24="No"</formula>
    </cfRule>
  </conditionalFormatting>
  <conditionalFormatting sqref="D23">
    <cfRule type="expression" dxfId="40" priority="14">
      <formula>$B$23="No"</formula>
    </cfRule>
  </conditionalFormatting>
  <conditionalFormatting sqref="D67">
    <cfRule type="expression" dxfId="39" priority="6">
      <formula>$B$67="No"</formula>
    </cfRule>
    <cfRule type="expression" dxfId="38" priority="11">
      <formula>$B$67="Yes"</formula>
    </cfRule>
  </conditionalFormatting>
  <conditionalFormatting sqref="E66:F67">
    <cfRule type="expression" dxfId="37" priority="8">
      <formula>AND(Input_Include_RTI_R1="Yes",Input_Include_RTI_R2="Yes",$D$66&lt;&gt;$D$67)</formula>
    </cfRule>
  </conditionalFormatting>
  <conditionalFormatting sqref="E15:H15">
    <cfRule type="expression" dxfId="36" priority="2">
      <formula>AND(Input_AnalysisYearType=Label_AnalysisYearType_OpenAndDesign,Input_Base_DAADTMajor="")</formula>
    </cfRule>
  </conditionalFormatting>
  <conditionalFormatting sqref="E16:H16">
    <cfRule type="expression" dxfId="35" priority="1">
      <formula>AND(Input_AnalysisYearType=Label_AnalysisYearType_OpenAndDesign,Input_Base_DAADTMinor="")</formula>
    </cfRule>
  </conditionalFormatting>
  <dataValidations count="5">
    <dataValidation type="whole" operator="greaterThanOrEqual" allowBlank="1" showInputMessage="1" showErrorMessage="1" errorTitle="Incorrect AADT Input" error="Please enter an integer value for AADT greater than 0." sqref="D13:D16" xr:uid="{00000000-0002-0000-0300-000000000000}">
      <formula1>0</formula1>
    </dataValidation>
    <dataValidation type="whole" allowBlank="1" showInputMessage="1" showErrorMessage="1" errorTitle="Invalid Opening Year" error="Please enter a valid Opening Year value." sqref="D5" xr:uid="{00000000-0002-0000-0300-000001000000}">
      <formula1>2000</formula1>
      <formula2>3000</formula2>
    </dataValidation>
    <dataValidation type="whole" allowBlank="1" showInputMessage="1" showErrorMessage="1" errorTitle="Invalid Design Year" error="Please enter a valid Design Year value." sqref="D6" xr:uid="{00000000-0002-0000-0300-000002000000}">
      <formula1>D5+1</formula1>
      <formula2>3000</formula2>
    </dataValidation>
    <dataValidation type="list" showInputMessage="1" showErrorMessage="1" sqref="D31:D32" xr:uid="{00000000-0002-0000-0300-000003000000}">
      <formula1>$A$19:$A$24</formula1>
    </dataValidation>
    <dataValidation type="whole" operator="greaterThan" allowBlank="1" showInputMessage="1" showErrorMessage="1" errorTitle="Invalid AADT Input" error="Please enter a valid whole number larger than 0 for the AADT inputs." sqref="D48:E51 D53:E56" xr:uid="{56A2CD88-1953-4E52-9DC7-196E0A199DB1}">
      <formula1>0</formula1>
    </dataValidation>
  </dataValidation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24" id="{5A0705AC-B250-4675-B34E-F9D50324A2C6}">
            <xm:f>IF($D$3=Notes!$A$15,1,0)</xm:f>
            <x14:dxf>
              <font>
                <color theme="0" tint="-0.14996795556505021"/>
              </font>
              <fill>
                <patternFill>
                  <bgColor theme="0" tint="-0.14996795556505021"/>
                </patternFill>
              </fill>
            </x14:dxf>
          </x14:cfRule>
          <xm:sqref>D44</xm:sqref>
        </x14:conditionalFormatting>
        <x14:conditionalFormatting xmlns:xm="http://schemas.microsoft.com/office/excel/2006/main">
          <x14:cfRule type="expression" priority="23" id="{FE79E886-BADA-475F-B6C1-7F23C029A8BE}">
            <xm:f>AND(Input_Include_MS="No",OR(AND(Input_NumLegs=Notes!A48,Input_Include_TS=Notes!Q19,Input_FacilityType=Notes!A32),AND(Input_NumLegs=Notes!A49,Input_Include_AS=Notes!Q19,Input_FacilityType=Notes!A32)))</xm:f>
            <x14:dxf>
              <font>
                <b/>
                <i val="0"/>
                <color rgb="FFFF0000"/>
              </font>
            </x14:dxf>
          </x14:cfRule>
          <xm:sqref>D21</xm:sqref>
        </x14:conditionalFormatting>
        <x14:conditionalFormatting xmlns:xm="http://schemas.microsoft.com/office/excel/2006/main">
          <x14:cfRule type="expression" priority="22" id="{500C8312-F3CC-4BD6-99B9-9DD6C64D1D27}">
            <xm:f>AND(Input_Include_MS="No",OR(AND(Input_NumLegs=Notes!A48,Input_Include_TS=Notes!Q19,Input_FacilityType=Notes!A32),AND(Input_NumLegs=Notes!A49,Input_Include_AS=Notes!Q19,Input_FacilityType=Notes!A32)))</xm:f>
            <x14:dxf>
              <font>
                <b/>
                <i val="0"/>
                <color rgb="FFFF0000"/>
              </font>
            </x14:dxf>
          </x14:cfRule>
          <xm:sqref>B21:C21</xm:sqref>
        </x14:conditionalFormatting>
        <x14:conditionalFormatting xmlns:xm="http://schemas.microsoft.com/office/excel/2006/main">
          <x14:cfRule type="expression" priority="13" id="{98CDAB72-0575-433A-A311-6DA828F36ED0}">
            <xm:f>AND(Input_FacilityType&lt;&gt;Notes!$A$34,$D$23=Notes!$A$19)</xm:f>
            <x14:dxf>
              <font>
                <color theme="1"/>
              </font>
              <fill>
                <patternFill>
                  <bgColor theme="0" tint="-0.14996795556505021"/>
                </patternFill>
              </fill>
            </x14:dxf>
          </x14:cfRule>
          <xm:sqref>A23:C23</xm:sqref>
        </x14:conditionalFormatting>
        <x14:conditionalFormatting xmlns:xm="http://schemas.microsoft.com/office/excel/2006/main">
          <x14:cfRule type="expression" priority="12" id="{464C1BE0-B678-4DDD-8B50-5DF0D59F33C9}">
            <xm:f>Input_FacilityType&lt;&gt;Notes!$A$34</xm:f>
            <x14:dxf>
              <font>
                <color theme="1"/>
              </font>
              <fill>
                <patternFill>
                  <bgColor theme="0" tint="-0.14996795556505021"/>
                </patternFill>
              </fill>
            </x14:dxf>
          </x14:cfRule>
          <xm:sqref>A24:C24</xm:sqref>
        </x14:conditionalFormatting>
        <x14:conditionalFormatting xmlns:xm="http://schemas.microsoft.com/office/excel/2006/main">
          <x14:cfRule type="expression" priority="10" id="{7DF00AFD-76A0-4706-A4CB-F4D09243A5F0}">
            <xm:f>AND(Input_RTI_AreaType=Notes!$A$38,OR(Input_RTI_R1_BaseIntx=Label_RTI_D4TS,Input_RTI_R1_BaseIntx=Label_RTI_D4TSA))</xm:f>
            <x14:dxf>
              <font>
                <color theme="1"/>
              </font>
              <fill>
                <patternFill>
                  <bgColor theme="0" tint="-0.14996795556505021"/>
                </patternFill>
              </fill>
            </x14:dxf>
          </x14:cfRule>
          <xm:sqref>A66:C66</xm:sqref>
        </x14:conditionalFormatting>
        <x14:conditionalFormatting xmlns:xm="http://schemas.microsoft.com/office/excel/2006/main">
          <x14:cfRule type="expression" priority="9" id="{0F4E8BC5-51AA-4ACE-A07F-40450E739777}">
            <xm:f>Input_RTI_AreaType=Notes!$A$38</xm:f>
            <x14:dxf>
              <font>
                <color theme="1"/>
              </font>
              <fill>
                <patternFill>
                  <bgColor theme="0" tint="-0.14996795556505021"/>
                </patternFill>
              </fill>
            </x14:dxf>
          </x14:cfRule>
          <xm:sqref>A67:C67</xm:sqref>
        </x14:conditionalFormatting>
        <x14:conditionalFormatting xmlns:xm="http://schemas.microsoft.com/office/excel/2006/main">
          <x14:cfRule type="expression" priority="5" id="{29C1B2C7-C0F3-468D-9AE3-94A4355BD184}">
            <xm:f>Input_FacilityType&lt;&gt;Notes!$A$32</xm:f>
            <x14:dxf>
              <font>
                <color theme="1"/>
              </font>
              <fill>
                <patternFill>
                  <bgColor theme="0" tint="-0.14996795556505021"/>
                </patternFill>
              </fill>
            </x14:dxf>
          </x14:cfRule>
          <xm:sqref>A22:C22</xm:sqref>
        </x14:conditionalFormatting>
        <x14:conditionalFormatting xmlns:xm="http://schemas.microsoft.com/office/excel/2006/main">
          <x14:cfRule type="expression" priority="4" id="{696114FF-3B20-48E5-A8F6-A0EB272036BD}">
            <xm:f>$B$31=Notes!$Q$19</xm:f>
            <x14:dxf>
              <fill>
                <patternFill>
                  <bgColor rgb="FFFFFFCC"/>
                </patternFill>
              </fill>
            </x14:dxf>
          </x14:cfRule>
          <xm:sqref>D31</xm:sqref>
        </x14:conditionalFormatting>
        <x14:conditionalFormatting xmlns:xm="http://schemas.microsoft.com/office/excel/2006/main">
          <x14:cfRule type="expression" priority="3" id="{12EB8B70-1BE3-4269-8BB2-8176ED40A191}">
            <xm:f>$B$32=Notes!$Q$19</xm:f>
            <x14:dxf>
              <fill>
                <patternFill>
                  <bgColor rgb="FFFFFFCC"/>
                </patternFill>
              </fill>
            </x14:dxf>
          </x14:cfRule>
          <xm:sqref>D32</xm:sqref>
        </x14:conditionalFormatting>
      </x14:conditionalFormattings>
    </ext>
    <ext xmlns:x14="http://schemas.microsoft.com/office/spreadsheetml/2009/9/main" uri="{CCE6A557-97BC-4b89-ADB6-D9C93CAAB3DF}">
      <x14:dataValidations xmlns:xm="http://schemas.microsoft.com/office/excel/2006/main" count="13">
        <x14:dataValidation type="list" showInputMessage="1" showErrorMessage="1" xr:uid="{00000000-0002-0000-0300-000004000000}">
          <x14:formula1>
            <xm:f>Notes!$A$48:$A$49</xm:f>
          </x14:formula1>
          <xm:sqref>D9</xm:sqref>
        </x14:dataValidation>
        <x14:dataValidation type="list" allowBlank="1" showInputMessage="1" showErrorMessage="1" xr:uid="{00000000-0002-0000-0300-000005000000}">
          <x14:formula1>
            <xm:f>Notes!$J$26:$J$27</xm:f>
          </x14:formula1>
          <xm:sqref>D44</xm:sqref>
        </x14:dataValidation>
        <x14:dataValidation type="list" allowBlank="1" showInputMessage="1" showErrorMessage="1" xr:uid="{00000000-0002-0000-0300-000006000000}">
          <x14:formula1>
            <xm:f>Notes!$A$54:$A$57</xm:f>
          </x14:formula1>
          <xm:sqref>D10</xm:sqref>
        </x14:dataValidation>
        <x14:dataValidation type="list" allowBlank="1" showInputMessage="1" showErrorMessage="1" xr:uid="{00000000-0002-0000-0300-000007000000}">
          <x14:formula1>
            <xm:f>Notes!$A$11:$A$12</xm:f>
          </x14:formula1>
          <xm:sqref>D4</xm:sqref>
        </x14:dataValidation>
        <x14:dataValidation type="list" allowBlank="1" showInputMessage="1" showErrorMessage="1" xr:uid="{00000000-0002-0000-0300-000008000000}">
          <x14:formula1>
            <xm:f>Notes!$A$15:$A$16</xm:f>
          </x14:formula1>
          <xm:sqref>D3</xm:sqref>
        </x14:dataValidation>
        <x14:dataValidation type="list" allowBlank="1" showInputMessage="1" showErrorMessage="1" xr:uid="{00000000-0002-0000-0300-000009000000}">
          <x14:formula1>
            <xm:f>Notes!$A$60:$A$62</xm:f>
          </x14:formula1>
          <xm:sqref>D11</xm:sqref>
        </x14:dataValidation>
        <x14:dataValidation type="list" allowBlank="1" showInputMessage="1" showErrorMessage="1" xr:uid="{00000000-0002-0000-0300-00000A000000}">
          <x14:formula1>
            <xm:f>Notes!$A$32:$A$35</xm:f>
          </x14:formula1>
          <xm:sqref>D7</xm:sqref>
        </x14:dataValidation>
        <x14:dataValidation type="list" allowBlank="1" showInputMessage="1" showErrorMessage="1" xr:uid="{00000000-0002-0000-0300-00000B000000}">
          <x14:formula1>
            <xm:f>Notes!$A$66:$A$67</xm:f>
          </x14:formula1>
          <xm:sqref>D12</xm:sqref>
        </x14:dataValidation>
        <x14:dataValidation type="list" showInputMessage="1" showErrorMessage="1" xr:uid="{00000000-0002-0000-0300-00000C000000}">
          <x14:formula1>
            <xm:f>Notes!$J$49:$J$51</xm:f>
          </x14:formula1>
          <xm:sqref>D45</xm:sqref>
        </x14:dataValidation>
        <x14:dataValidation type="list" allowBlank="1" showInputMessage="1" showErrorMessage="1" xr:uid="{00000000-0002-0000-0300-00000D000000}">
          <x14:formula1>
            <xm:f>Notes!$Q$19:$Q$20</xm:f>
          </x14:formula1>
          <xm:sqref>B19:C32 B61:C69</xm:sqref>
        </x14:dataValidation>
        <x14:dataValidation type="list" showInputMessage="1" showErrorMessage="1" xr:uid="{00000000-0002-0000-0300-00000E000000}">
          <x14:formula1>
            <xm:f>Notes!$J$55:$J$57</xm:f>
          </x14:formula1>
          <xm:sqref>D66:D69</xm:sqref>
        </x14:dataValidation>
        <x14:dataValidation type="list" showInputMessage="1" showErrorMessage="1" xr:uid="{17D05B85-80F9-4E71-9B26-607E455E7493}">
          <x14:formula1>
            <xm:f>Labels!$A$5:$A$6</xm:f>
          </x14:formula1>
          <xm:sqref>D23:D24</xm:sqref>
        </x14:dataValidation>
        <x14:dataValidation type="list" showInputMessage="1" showErrorMessage="1" xr:uid="{2075229F-8BE5-4B81-906D-CDD92506BDE5}">
          <x14:formula1>
            <xm:f>Notes!$A$39:$A$40</xm:f>
          </x14:formula1>
          <xm:sqref>D8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3">
    <tabColor theme="4" tint="-0.249977111117893"/>
  </sheetPr>
  <dimension ref="A1:AH74"/>
  <sheetViews>
    <sheetView showGridLines="0" showRowColHeaders="0" zoomScaleNormal="100" workbookViewId="0">
      <pane xSplit="1" ySplit="6" topLeftCell="B7" activePane="bottomRight" state="frozen"/>
      <selection pane="topRight" activeCell="B1" sqref="B1"/>
      <selection pane="bottomLeft" activeCell="A7" sqref="A7"/>
      <selection pane="bottomRight" activeCell="N17" sqref="N17:O33"/>
    </sheetView>
  </sheetViews>
  <sheetFormatPr defaultColWidth="0" defaultRowHeight="14.4" zeroHeight="1" x14ac:dyDescent="0.3"/>
  <cols>
    <col min="1" max="1" width="58.109375" customWidth="1"/>
    <col min="2" max="3" width="9.44140625" customWidth="1"/>
    <col min="4" max="9" width="7.33203125" customWidth="1"/>
    <col min="10" max="11" width="7.33203125" hidden="1" customWidth="1"/>
    <col min="12" max="25" width="7.33203125" customWidth="1"/>
    <col min="26" max="27" width="7.33203125" hidden="1" customWidth="1"/>
    <col min="28" max="31" width="8.88671875" customWidth="1"/>
    <col min="32" max="33" width="2.5546875" customWidth="1"/>
    <col min="34" max="34" width="1.21875" customWidth="1"/>
    <col min="35" max="16384" width="8.88671875" hidden="1"/>
  </cols>
  <sheetData>
    <row r="1" spans="1:33" ht="28.8" customHeight="1" x14ac:dyDescent="0.3">
      <c r="A1" s="609" t="s">
        <v>436</v>
      </c>
      <c r="B1" s="610"/>
      <c r="C1" s="610"/>
      <c r="D1" s="610"/>
      <c r="E1" s="610"/>
      <c r="F1" s="610"/>
      <c r="G1" s="610"/>
      <c r="H1" s="610"/>
      <c r="I1" s="610"/>
      <c r="J1" s="610"/>
      <c r="K1" s="610"/>
      <c r="L1" s="610"/>
      <c r="M1" s="610"/>
      <c r="N1" s="610"/>
      <c r="O1" s="610"/>
      <c r="P1" s="610"/>
      <c r="Q1" s="610"/>
      <c r="R1" s="610"/>
      <c r="S1" s="610"/>
      <c r="T1" s="610"/>
      <c r="U1" s="610"/>
      <c r="V1" s="610"/>
      <c r="W1" s="610"/>
      <c r="X1" s="610"/>
      <c r="Y1" s="610"/>
      <c r="Z1" s="610"/>
      <c r="AA1" s="610"/>
      <c r="AB1" s="610"/>
      <c r="AC1" s="610"/>
      <c r="AD1" s="610"/>
      <c r="AE1" s="610"/>
      <c r="AF1" s="610"/>
      <c r="AG1" s="611"/>
    </row>
    <row r="2" spans="1:33" ht="19.8" customHeight="1" x14ac:dyDescent="0.3">
      <c r="A2" s="612" t="s">
        <v>105</v>
      </c>
      <c r="B2" s="613"/>
      <c r="C2" s="613"/>
      <c r="D2" s="613"/>
      <c r="E2" s="613"/>
      <c r="F2" s="613"/>
      <c r="G2" s="613"/>
      <c r="H2" s="613"/>
      <c r="I2" s="613"/>
      <c r="J2" s="613"/>
      <c r="K2" s="613"/>
      <c r="L2" s="613"/>
      <c r="M2" s="613"/>
      <c r="N2" s="613"/>
      <c r="O2" s="613"/>
      <c r="P2" s="613"/>
      <c r="Q2" s="613"/>
      <c r="R2" s="613"/>
      <c r="S2" s="613"/>
      <c r="T2" s="613"/>
      <c r="U2" s="613"/>
      <c r="V2" s="613"/>
      <c r="W2" s="613"/>
      <c r="X2" s="613"/>
      <c r="Y2" s="613"/>
      <c r="Z2" s="613"/>
      <c r="AA2" s="613"/>
      <c r="AB2" s="613"/>
      <c r="AC2" s="613"/>
      <c r="AD2" s="613"/>
      <c r="AE2" s="613"/>
      <c r="AF2" s="613"/>
      <c r="AG2" s="614"/>
    </row>
    <row r="3" spans="1:33" ht="15" customHeight="1" x14ac:dyDescent="0.3">
      <c r="A3" s="26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192"/>
    </row>
    <row r="4" spans="1:33" ht="21.6" customHeight="1" x14ac:dyDescent="0.35">
      <c r="A4" s="607" t="s">
        <v>139</v>
      </c>
      <c r="B4" s="608"/>
      <c r="C4" s="608"/>
      <c r="D4" s="608"/>
      <c r="E4" s="608"/>
      <c r="F4" s="608"/>
      <c r="G4" s="608"/>
      <c r="H4" s="608"/>
      <c r="I4" s="608"/>
      <c r="J4" s="608"/>
      <c r="K4" s="608"/>
      <c r="L4" s="608"/>
      <c r="M4" s="608"/>
      <c r="N4" s="608"/>
      <c r="O4" s="608"/>
      <c r="P4" s="608"/>
      <c r="Q4" s="608"/>
      <c r="R4" s="608"/>
      <c r="S4" s="608"/>
      <c r="T4" s="608"/>
      <c r="U4" s="608"/>
      <c r="V4" s="608"/>
      <c r="W4" s="608"/>
      <c r="X4" s="608"/>
      <c r="Y4" s="608"/>
      <c r="Z4" s="174"/>
      <c r="AA4" s="174"/>
      <c r="AB4" s="270"/>
      <c r="AC4" s="270"/>
      <c r="AD4" s="270"/>
      <c r="AE4" s="271"/>
      <c r="AF4" s="3"/>
      <c r="AG4" s="209"/>
    </row>
    <row r="5" spans="1:33" ht="14.4" customHeight="1" x14ac:dyDescent="0.3">
      <c r="A5" s="526" t="s">
        <v>186</v>
      </c>
      <c r="B5" s="526"/>
      <c r="C5" s="527"/>
      <c r="D5" s="526" t="str">
        <f>Label_AGI_TrafficSignal</f>
        <v>Traffic Signal</v>
      </c>
      <c r="E5" s="527"/>
      <c r="F5" s="526" t="str">
        <f>Label_AGI_TrafficSignal&amp;" (Alt)"</f>
        <v>Traffic Signal (Alt)</v>
      </c>
      <c r="G5" s="527"/>
      <c r="H5" s="526" t="str">
        <f>Label_AGI_MinorStop</f>
        <v>Minor Road Stop</v>
      </c>
      <c r="I5" s="527"/>
      <c r="J5" s="526" t="str">
        <f>Label_AGI_AllStop</f>
        <v>All Way Stop</v>
      </c>
      <c r="K5" s="527"/>
      <c r="L5" s="526" t="str">
        <f>Label_AGI_1LnRdbt</f>
        <v>1-lane Roundabout</v>
      </c>
      <c r="M5" s="527"/>
      <c r="N5" s="526" t="str">
        <f>Label_AGI_2LnRdbt</f>
        <v>2-lane Roundabout</v>
      </c>
      <c r="O5" s="527"/>
      <c r="P5" s="526" t="str">
        <f>Label_AGI_DLT</f>
        <v>Displaced Left-Turn (DLT)</v>
      </c>
      <c r="Q5" s="527"/>
      <c r="R5" s="526" t="str">
        <f>Label_AGI_MUT</f>
        <v>Median U-Turn (MUT)</v>
      </c>
      <c r="S5" s="527"/>
      <c r="T5" s="526" t="str">
        <f>Label_AGI_RCUTSig</f>
        <v>Signalized RCUT</v>
      </c>
      <c r="U5" s="527"/>
      <c r="V5" s="526" t="str">
        <f>Label_AGI_RCUTUnsig</f>
        <v>Unsignalized RCUT</v>
      </c>
      <c r="W5" s="527"/>
      <c r="X5" s="526" t="str">
        <f>Label_AGI_GreenT</f>
        <v>Continuous Green-T (CGT) Intersection</v>
      </c>
      <c r="Y5" s="527"/>
      <c r="Z5" s="571" t="str">
        <f>Label_AGI_Jughandle</f>
        <v>Jughandle</v>
      </c>
      <c r="AA5" s="572"/>
      <c r="AB5" s="273"/>
      <c r="AC5" s="183"/>
      <c r="AD5" s="183"/>
      <c r="AE5" s="274"/>
      <c r="AF5" s="3"/>
      <c r="AG5" s="209"/>
    </row>
    <row r="6" spans="1:33" ht="27.6" customHeight="1" x14ac:dyDescent="0.3">
      <c r="A6" s="528"/>
      <c r="B6" s="528"/>
      <c r="C6" s="529"/>
      <c r="D6" s="528"/>
      <c r="E6" s="529"/>
      <c r="F6" s="528"/>
      <c r="G6" s="529"/>
      <c r="H6" s="528"/>
      <c r="I6" s="529"/>
      <c r="J6" s="528"/>
      <c r="K6" s="529"/>
      <c r="L6" s="528"/>
      <c r="M6" s="529"/>
      <c r="N6" s="528"/>
      <c r="O6" s="529"/>
      <c r="P6" s="528"/>
      <c r="Q6" s="529"/>
      <c r="R6" s="528"/>
      <c r="S6" s="529"/>
      <c r="T6" s="528"/>
      <c r="U6" s="529"/>
      <c r="V6" s="528"/>
      <c r="W6" s="529"/>
      <c r="X6" s="528"/>
      <c r="Y6" s="529"/>
      <c r="Z6" s="573"/>
      <c r="AA6" s="574"/>
      <c r="AB6" s="275"/>
      <c r="AC6" s="276"/>
      <c r="AD6" s="276"/>
      <c r="AE6" s="277"/>
      <c r="AF6" s="3"/>
      <c r="AG6" s="209"/>
    </row>
    <row r="7" spans="1:33" ht="16.2" hidden="1" customHeight="1" x14ac:dyDescent="0.3">
      <c r="A7" s="15" t="s">
        <v>119</v>
      </c>
      <c r="B7" s="580" t="s">
        <v>147</v>
      </c>
      <c r="C7" s="581"/>
      <c r="D7" s="580">
        <f>Input_Base_OAADTMajor</f>
        <v>0</v>
      </c>
      <c r="E7" s="581"/>
      <c r="F7" s="580">
        <f>Input_Base_OAADTMajor</f>
        <v>0</v>
      </c>
      <c r="G7" s="581"/>
      <c r="H7" s="580">
        <f>Input_Base_OAADTMajor</f>
        <v>0</v>
      </c>
      <c r="I7" s="581"/>
      <c r="J7" s="538">
        <f>Input_Base_OAADTMajor</f>
        <v>0</v>
      </c>
      <c r="K7" s="539"/>
      <c r="L7" s="538">
        <f>Input_Base_OAADTMajor</f>
        <v>0</v>
      </c>
      <c r="M7" s="539"/>
      <c r="N7" s="538">
        <f>Input_Base_OAADTMajor</f>
        <v>0</v>
      </c>
      <c r="O7" s="539"/>
      <c r="P7" s="538">
        <f>Input_Base_OAADTMajor</f>
        <v>0</v>
      </c>
      <c r="Q7" s="539"/>
      <c r="R7" s="547">
        <f>Input_Base_OAADTMajor</f>
        <v>0</v>
      </c>
      <c r="S7" s="548"/>
      <c r="T7" s="547">
        <f>Input_Base_OAADTMajor</f>
        <v>0</v>
      </c>
      <c r="U7" s="548"/>
      <c r="V7" s="547">
        <f>Input_Base_OAADTMajor</f>
        <v>0</v>
      </c>
      <c r="W7" s="548"/>
      <c r="X7" s="547">
        <f>Input_Base_OAADTMajor</f>
        <v>0</v>
      </c>
      <c r="Y7" s="548"/>
      <c r="Z7" s="547">
        <f>Input_Base_OAADTMajor</f>
        <v>0</v>
      </c>
      <c r="AA7" s="548"/>
      <c r="AB7" s="551" t="s">
        <v>397</v>
      </c>
      <c r="AC7" s="557"/>
      <c r="AD7" s="557"/>
      <c r="AE7" s="552"/>
      <c r="AF7" s="2"/>
      <c r="AG7" s="192"/>
    </row>
    <row r="8" spans="1:33" ht="16.2" hidden="1" customHeight="1" x14ac:dyDescent="0.3">
      <c r="A8" s="9" t="s">
        <v>120</v>
      </c>
      <c r="B8" s="582"/>
      <c r="C8" s="583"/>
      <c r="D8" s="582">
        <f>Input_Base_OAADTMinor</f>
        <v>0</v>
      </c>
      <c r="E8" s="583"/>
      <c r="F8" s="582">
        <f>Input_Base_OAADTMinor</f>
        <v>0</v>
      </c>
      <c r="G8" s="583"/>
      <c r="H8" s="582">
        <f>Input_Base_OAADTMinor</f>
        <v>0</v>
      </c>
      <c r="I8" s="583"/>
      <c r="J8" s="540">
        <f>Input_Base_OAADTMinor</f>
        <v>0</v>
      </c>
      <c r="K8" s="541"/>
      <c r="L8" s="540">
        <f>Input_Base_OAADTMinor</f>
        <v>0</v>
      </c>
      <c r="M8" s="541"/>
      <c r="N8" s="540">
        <f>Input_Base_OAADTMinor</f>
        <v>0</v>
      </c>
      <c r="O8" s="541"/>
      <c r="P8" s="540">
        <f>Input_Base_OAADTMinor</f>
        <v>0</v>
      </c>
      <c r="Q8" s="541"/>
      <c r="R8" s="568">
        <f>Input_Base_OAADTMinor</f>
        <v>0</v>
      </c>
      <c r="S8" s="570"/>
      <c r="T8" s="568">
        <f>Input_Base_OAADTMinor</f>
        <v>0</v>
      </c>
      <c r="U8" s="570"/>
      <c r="V8" s="568">
        <f>Input_Base_OAADTMinor</f>
        <v>0</v>
      </c>
      <c r="W8" s="570"/>
      <c r="X8" s="568">
        <f>Input_Base_OAADTMinor</f>
        <v>0</v>
      </c>
      <c r="Y8" s="570"/>
      <c r="Z8" s="568">
        <f>Input_Base_OAADTMinor</f>
        <v>0</v>
      </c>
      <c r="AA8" s="570"/>
      <c r="AB8" s="553"/>
      <c r="AC8" s="558"/>
      <c r="AD8" s="558"/>
      <c r="AE8" s="554"/>
      <c r="AF8" s="2"/>
      <c r="AG8" s="192"/>
    </row>
    <row r="9" spans="1:33" ht="16.2" hidden="1" customHeight="1" x14ac:dyDescent="0.3">
      <c r="A9" s="9" t="s">
        <v>121</v>
      </c>
      <c r="B9" s="582"/>
      <c r="C9" s="583"/>
      <c r="D9" s="549">
        <f>Input_Base_DAADTMajor</f>
        <v>0</v>
      </c>
      <c r="E9" s="550"/>
      <c r="F9" s="549">
        <f>Input_Base_DAADTMajor</f>
        <v>0</v>
      </c>
      <c r="G9" s="550"/>
      <c r="H9" s="549">
        <f>Input_Base_DAADTMajor</f>
        <v>0</v>
      </c>
      <c r="I9" s="550"/>
      <c r="J9" s="540">
        <f>Input_Base_DAADTMajor</f>
        <v>0</v>
      </c>
      <c r="K9" s="542"/>
      <c r="L9" s="540">
        <f>Input_Base_DAADTMajor</f>
        <v>0</v>
      </c>
      <c r="M9" s="542"/>
      <c r="N9" s="540">
        <f>Input_Base_DAADTMajor</f>
        <v>0</v>
      </c>
      <c r="O9" s="542"/>
      <c r="P9" s="540">
        <f>Input_Base_DAADTMajor</f>
        <v>0</v>
      </c>
      <c r="Q9" s="542"/>
      <c r="R9" s="568">
        <f>Input_Base_DAADTMajor</f>
        <v>0</v>
      </c>
      <c r="S9" s="569"/>
      <c r="T9" s="568">
        <f>Input_Base_DAADTMajor</f>
        <v>0</v>
      </c>
      <c r="U9" s="569"/>
      <c r="V9" s="568">
        <f>Input_Base_DAADTMajor</f>
        <v>0</v>
      </c>
      <c r="W9" s="569"/>
      <c r="X9" s="568">
        <f>Input_Base_DAADTMajor</f>
        <v>0</v>
      </c>
      <c r="Y9" s="569"/>
      <c r="Z9" s="568">
        <f>Input_Base_DAADTMajor</f>
        <v>0</v>
      </c>
      <c r="AA9" s="569"/>
      <c r="AB9" s="553"/>
      <c r="AC9" s="558"/>
      <c r="AD9" s="558"/>
      <c r="AE9" s="554"/>
      <c r="AF9" s="2"/>
      <c r="AG9" s="192"/>
    </row>
    <row r="10" spans="1:33" ht="16.2" hidden="1" customHeight="1" x14ac:dyDescent="0.3">
      <c r="A10" s="9" t="s">
        <v>122</v>
      </c>
      <c r="B10" s="593"/>
      <c r="C10" s="594"/>
      <c r="D10" s="584">
        <f>Input_Base_DAADTMinor</f>
        <v>0</v>
      </c>
      <c r="E10" s="585"/>
      <c r="F10" s="584">
        <f>Input_Base_DAADTMinor</f>
        <v>0</v>
      </c>
      <c r="G10" s="585"/>
      <c r="H10" s="584">
        <f>Input_Base_DAADTMinor</f>
        <v>0</v>
      </c>
      <c r="I10" s="585"/>
      <c r="J10" s="545">
        <f>Input_Base_DAADTMinor</f>
        <v>0</v>
      </c>
      <c r="K10" s="546"/>
      <c r="L10" s="545">
        <f>Input_Base_DAADTMinor</f>
        <v>0</v>
      </c>
      <c r="M10" s="546"/>
      <c r="N10" s="545">
        <f>Input_Base_DAADTMinor</f>
        <v>0</v>
      </c>
      <c r="O10" s="546"/>
      <c r="P10" s="545">
        <f>Input_Base_DAADTMinor</f>
        <v>0</v>
      </c>
      <c r="Q10" s="546"/>
      <c r="R10" s="543">
        <f>Input_Base_DAADTMinor</f>
        <v>0</v>
      </c>
      <c r="S10" s="544"/>
      <c r="T10" s="543">
        <f>Input_Base_DAADTMinor</f>
        <v>0</v>
      </c>
      <c r="U10" s="544"/>
      <c r="V10" s="543">
        <f>Input_Base_DAADTMinor</f>
        <v>0</v>
      </c>
      <c r="W10" s="544"/>
      <c r="X10" s="543">
        <f>Input_Base_DAADTMinor</f>
        <v>0</v>
      </c>
      <c r="Y10" s="544"/>
      <c r="Z10" s="543">
        <f>Input_Base_DAADTMinor</f>
        <v>0</v>
      </c>
      <c r="AA10" s="544"/>
      <c r="AB10" s="555"/>
      <c r="AC10" s="559"/>
      <c r="AD10" s="559"/>
      <c r="AE10" s="556"/>
      <c r="AF10" s="2"/>
      <c r="AG10" s="192"/>
    </row>
    <row r="11" spans="1:33" ht="31.2" customHeight="1" x14ac:dyDescent="0.3">
      <c r="A11" s="37" t="s">
        <v>199</v>
      </c>
      <c r="B11" s="595" t="s">
        <v>155</v>
      </c>
      <c r="C11" s="596"/>
      <c r="D11" s="578">
        <v>0</v>
      </c>
      <c r="E11" s="579"/>
      <c r="F11" s="578">
        <v>0</v>
      </c>
      <c r="G11" s="579"/>
      <c r="H11" s="591"/>
      <c r="I11" s="592"/>
      <c r="J11" s="588">
        <v>0</v>
      </c>
      <c r="K11" s="590"/>
      <c r="L11" s="19"/>
      <c r="M11" s="20"/>
      <c r="N11" s="19"/>
      <c r="O11" s="20"/>
      <c r="P11" s="19"/>
      <c r="Q11" s="20"/>
      <c r="R11" s="19"/>
      <c r="S11" s="20"/>
      <c r="T11" s="19"/>
      <c r="U11" s="20"/>
      <c r="V11" s="19"/>
      <c r="W11" s="20"/>
      <c r="X11" s="19"/>
      <c r="Y11" s="20"/>
      <c r="Z11" s="19"/>
      <c r="AA11" s="20"/>
      <c r="AB11" s="551" t="s">
        <v>157</v>
      </c>
      <c r="AC11" s="557"/>
      <c r="AD11" s="557"/>
      <c r="AE11" s="552"/>
      <c r="AF11" s="2"/>
      <c r="AG11" s="192"/>
    </row>
    <row r="12" spans="1:33" ht="31.2" customHeight="1" x14ac:dyDescent="0.3">
      <c r="A12" s="44" t="s">
        <v>198</v>
      </c>
      <c r="B12" s="597"/>
      <c r="C12" s="598"/>
      <c r="D12" s="586">
        <v>0</v>
      </c>
      <c r="E12" s="587"/>
      <c r="F12" s="586">
        <v>0</v>
      </c>
      <c r="G12" s="587"/>
      <c r="H12" s="591"/>
      <c r="I12" s="592"/>
      <c r="J12" s="575">
        <v>0</v>
      </c>
      <c r="K12" s="577"/>
      <c r="L12" s="21"/>
      <c r="M12" s="22"/>
      <c r="N12" s="21"/>
      <c r="O12" s="22"/>
      <c r="P12" s="21"/>
      <c r="Q12" s="22"/>
      <c r="R12" s="21"/>
      <c r="S12" s="22"/>
      <c r="T12" s="21"/>
      <c r="U12" s="22"/>
      <c r="V12" s="21"/>
      <c r="W12" s="22"/>
      <c r="X12" s="21"/>
      <c r="Y12" s="22"/>
      <c r="Z12" s="21"/>
      <c r="AA12" s="22"/>
      <c r="AB12" s="553"/>
      <c r="AC12" s="558"/>
      <c r="AD12" s="558"/>
      <c r="AE12" s="554"/>
      <c r="AF12" s="2"/>
      <c r="AG12" s="192"/>
    </row>
    <row r="13" spans="1:33" ht="31.2" customHeight="1" x14ac:dyDescent="0.3">
      <c r="A13" s="44" t="s">
        <v>197</v>
      </c>
      <c r="B13" s="597"/>
      <c r="C13" s="598"/>
      <c r="D13" s="591"/>
      <c r="E13" s="592"/>
      <c r="F13" s="591"/>
      <c r="G13" s="592"/>
      <c r="H13" s="588">
        <v>1</v>
      </c>
      <c r="I13" s="589"/>
      <c r="J13" s="591"/>
      <c r="K13" s="592"/>
      <c r="L13" s="21"/>
      <c r="M13" s="22"/>
      <c r="N13" s="21"/>
      <c r="O13" s="22"/>
      <c r="P13" s="21"/>
      <c r="Q13" s="22"/>
      <c r="R13" s="21"/>
      <c r="S13" s="22"/>
      <c r="T13" s="21"/>
      <c r="U13" s="22"/>
      <c r="V13" s="21"/>
      <c r="W13" s="22"/>
      <c r="X13" s="21"/>
      <c r="Y13" s="22"/>
      <c r="Z13" s="21"/>
      <c r="AA13" s="22"/>
      <c r="AB13" s="215"/>
      <c r="AC13" s="215"/>
      <c r="AD13" s="215"/>
      <c r="AE13" s="212"/>
      <c r="AF13" s="2"/>
      <c r="AG13" s="192"/>
    </row>
    <row r="14" spans="1:33" ht="31.2" customHeight="1" x14ac:dyDescent="0.3">
      <c r="A14" s="44" t="s">
        <v>399</v>
      </c>
      <c r="B14" s="599"/>
      <c r="C14" s="600"/>
      <c r="D14" s="591"/>
      <c r="E14" s="592"/>
      <c r="F14" s="591"/>
      <c r="G14" s="592"/>
      <c r="H14" s="575">
        <v>1</v>
      </c>
      <c r="I14" s="576"/>
      <c r="J14" s="591"/>
      <c r="K14" s="592"/>
      <c r="L14" s="45"/>
      <c r="M14" s="46"/>
      <c r="N14" s="45"/>
      <c r="O14" s="46"/>
      <c r="P14" s="45"/>
      <c r="Q14" s="46"/>
      <c r="R14" s="45"/>
      <c r="S14" s="46"/>
      <c r="T14" s="45"/>
      <c r="U14" s="46"/>
      <c r="V14" s="45"/>
      <c r="W14" s="46"/>
      <c r="X14" s="45"/>
      <c r="Y14" s="46"/>
      <c r="Z14" s="45"/>
      <c r="AA14" s="46"/>
      <c r="AB14" s="215"/>
      <c r="AC14" s="215"/>
      <c r="AD14" s="215"/>
      <c r="AE14" s="212"/>
      <c r="AF14" s="2"/>
      <c r="AG14" s="192"/>
    </row>
    <row r="15" spans="1:33" ht="91.95" customHeight="1" x14ac:dyDescent="0.3">
      <c r="A15" s="615" t="s">
        <v>473</v>
      </c>
      <c r="B15" s="616"/>
      <c r="C15" s="616"/>
      <c r="D15" s="616"/>
      <c r="E15" s="616"/>
      <c r="F15" s="616"/>
      <c r="G15" s="616"/>
      <c r="H15" s="616"/>
      <c r="I15" s="616"/>
      <c r="J15" s="616"/>
      <c r="K15" s="616"/>
      <c r="L15" s="616"/>
      <c r="M15" s="616"/>
      <c r="N15" s="616"/>
      <c r="O15" s="616"/>
      <c r="P15" s="616"/>
      <c r="Q15" s="616"/>
      <c r="R15" s="616"/>
      <c r="S15" s="616"/>
      <c r="T15" s="616"/>
      <c r="U15" s="616"/>
      <c r="V15" s="616"/>
      <c r="W15" s="616"/>
      <c r="X15" s="616"/>
      <c r="Y15" s="616"/>
      <c r="Z15" s="616"/>
      <c r="AA15" s="616"/>
      <c r="AB15" s="616"/>
      <c r="AC15" s="616"/>
      <c r="AD15" s="616"/>
      <c r="AE15" s="617"/>
      <c r="AF15" s="2"/>
      <c r="AG15" s="192"/>
    </row>
    <row r="16" spans="1:33" ht="41.4" customHeight="1" x14ac:dyDescent="0.3">
      <c r="A16" s="30"/>
      <c r="B16" s="605" t="s">
        <v>383</v>
      </c>
      <c r="C16" s="606"/>
      <c r="D16" s="606"/>
      <c r="E16" s="606"/>
      <c r="F16" s="606"/>
      <c r="G16" s="606"/>
      <c r="H16" s="606"/>
      <c r="I16" s="606"/>
      <c r="J16" s="261"/>
      <c r="K16" s="261"/>
      <c r="L16" s="175"/>
      <c r="M16" s="176"/>
      <c r="N16" s="216"/>
      <c r="O16" s="214"/>
      <c r="P16" s="216"/>
      <c r="Q16" s="214"/>
      <c r="R16" s="213"/>
      <c r="S16" s="214"/>
      <c r="T16" s="213"/>
      <c r="U16" s="214"/>
      <c r="V16" s="213"/>
      <c r="W16" s="214"/>
      <c r="X16" s="213"/>
      <c r="Y16" s="214"/>
      <c r="Z16" s="213"/>
      <c r="AA16" s="214"/>
      <c r="AB16" s="23"/>
      <c r="AC16" s="24"/>
      <c r="AD16" s="24"/>
      <c r="AE16" s="25"/>
      <c r="AF16" s="2"/>
      <c r="AG16" s="192"/>
    </row>
    <row r="17" spans="1:33" ht="16.2" customHeight="1" x14ac:dyDescent="0.3">
      <c r="A17" s="26" t="s">
        <v>40</v>
      </c>
      <c r="B17" s="618" t="s">
        <v>163</v>
      </c>
      <c r="C17" s="619"/>
      <c r="D17" s="603" t="s">
        <v>141</v>
      </c>
      <c r="E17" s="604"/>
      <c r="F17" s="603" t="s">
        <v>141</v>
      </c>
      <c r="G17" s="604"/>
      <c r="H17" s="601">
        <v>0</v>
      </c>
      <c r="I17" s="602"/>
      <c r="J17" s="603" t="s">
        <v>141</v>
      </c>
      <c r="K17" s="604"/>
      <c r="L17" s="551" t="s">
        <v>151</v>
      </c>
      <c r="M17" s="552"/>
      <c r="N17" s="551" t="s">
        <v>151</v>
      </c>
      <c r="O17" s="552"/>
      <c r="P17" s="551" t="s">
        <v>151</v>
      </c>
      <c r="Q17" s="552"/>
      <c r="R17" s="551" t="s">
        <v>151</v>
      </c>
      <c r="S17" s="552"/>
      <c r="T17" s="551" t="s">
        <v>151</v>
      </c>
      <c r="U17" s="552"/>
      <c r="V17" s="551" t="s">
        <v>151</v>
      </c>
      <c r="W17" s="552"/>
      <c r="X17" s="551" t="s">
        <v>151</v>
      </c>
      <c r="Y17" s="552"/>
      <c r="Z17" s="551" t="s">
        <v>151</v>
      </c>
      <c r="AA17" s="552"/>
      <c r="AB17" s="551" t="s">
        <v>129</v>
      </c>
      <c r="AC17" s="557"/>
      <c r="AD17" s="557"/>
      <c r="AE17" s="552"/>
      <c r="AF17" s="2"/>
      <c r="AG17" s="192"/>
    </row>
    <row r="18" spans="1:33" ht="16.2" customHeight="1" x14ac:dyDescent="0.3">
      <c r="A18" s="26" t="s">
        <v>41</v>
      </c>
      <c r="B18" s="620"/>
      <c r="C18" s="621"/>
      <c r="D18" s="560" t="s">
        <v>167</v>
      </c>
      <c r="E18" s="512"/>
      <c r="F18" s="560" t="s">
        <v>167</v>
      </c>
      <c r="G18" s="512"/>
      <c r="H18" s="564" t="s">
        <v>167</v>
      </c>
      <c r="I18" s="565"/>
      <c r="J18" s="564" t="s">
        <v>89</v>
      </c>
      <c r="K18" s="565"/>
      <c r="L18" s="553"/>
      <c r="M18" s="554"/>
      <c r="N18" s="553"/>
      <c r="O18" s="554"/>
      <c r="P18" s="553"/>
      <c r="Q18" s="554"/>
      <c r="R18" s="553"/>
      <c r="S18" s="554"/>
      <c r="T18" s="553"/>
      <c r="U18" s="554"/>
      <c r="V18" s="553"/>
      <c r="W18" s="554"/>
      <c r="X18" s="553"/>
      <c r="Y18" s="554"/>
      <c r="Z18" s="553"/>
      <c r="AA18" s="554"/>
      <c r="AB18" s="553"/>
      <c r="AC18" s="558"/>
      <c r="AD18" s="558"/>
      <c r="AE18" s="554"/>
      <c r="AF18" s="2"/>
      <c r="AG18" s="192"/>
    </row>
    <row r="19" spans="1:33" ht="16.95" customHeight="1" x14ac:dyDescent="0.3">
      <c r="A19" s="29" t="s">
        <v>161</v>
      </c>
      <c r="B19" s="620"/>
      <c r="C19" s="621"/>
      <c r="D19" s="560">
        <v>0</v>
      </c>
      <c r="E19" s="512"/>
      <c r="F19" s="560">
        <v>0</v>
      </c>
      <c r="G19" s="512"/>
      <c r="H19" s="516" t="s">
        <v>141</v>
      </c>
      <c r="I19" s="517"/>
      <c r="J19" s="516" t="s">
        <v>141</v>
      </c>
      <c r="K19" s="517"/>
      <c r="L19" s="553" t="s">
        <v>141</v>
      </c>
      <c r="M19" s="554"/>
      <c r="N19" s="553" t="s">
        <v>141</v>
      </c>
      <c r="O19" s="554"/>
      <c r="P19" s="553"/>
      <c r="Q19" s="554"/>
      <c r="R19" s="553"/>
      <c r="S19" s="554"/>
      <c r="T19" s="553"/>
      <c r="U19" s="554"/>
      <c r="V19" s="553"/>
      <c r="W19" s="554"/>
      <c r="X19" s="553"/>
      <c r="Y19" s="554"/>
      <c r="Z19" s="553"/>
      <c r="AA19" s="554"/>
      <c r="AB19" s="553"/>
      <c r="AC19" s="558"/>
      <c r="AD19" s="558"/>
      <c r="AE19" s="554"/>
      <c r="AF19" s="2"/>
      <c r="AG19" s="192"/>
    </row>
    <row r="20" spans="1:33" ht="16.2" customHeight="1" x14ac:dyDescent="0.3">
      <c r="A20" s="29" t="s">
        <v>468</v>
      </c>
      <c r="B20" s="620"/>
      <c r="C20" s="621"/>
      <c r="D20" s="560">
        <v>0</v>
      </c>
      <c r="E20" s="512"/>
      <c r="F20" s="560">
        <v>0</v>
      </c>
      <c r="G20" s="512"/>
      <c r="H20" s="516"/>
      <c r="I20" s="517"/>
      <c r="J20" s="516"/>
      <c r="K20" s="517"/>
      <c r="L20" s="553"/>
      <c r="M20" s="554"/>
      <c r="N20" s="553"/>
      <c r="O20" s="554"/>
      <c r="P20" s="553"/>
      <c r="Q20" s="554"/>
      <c r="R20" s="553"/>
      <c r="S20" s="554"/>
      <c r="T20" s="553"/>
      <c r="U20" s="554"/>
      <c r="V20" s="553"/>
      <c r="W20" s="554"/>
      <c r="X20" s="553"/>
      <c r="Y20" s="554"/>
      <c r="Z20" s="553"/>
      <c r="AA20" s="554"/>
      <c r="AB20" s="553"/>
      <c r="AC20" s="558"/>
      <c r="AD20" s="558"/>
      <c r="AE20" s="554"/>
      <c r="AF20" s="2"/>
      <c r="AG20" s="192"/>
    </row>
    <row r="21" spans="1:33" ht="16.2" customHeight="1" x14ac:dyDescent="0.3">
      <c r="A21" s="29" t="s">
        <v>162</v>
      </c>
      <c r="B21" s="620"/>
      <c r="C21" s="621"/>
      <c r="D21" s="560">
        <v>0</v>
      </c>
      <c r="E21" s="512"/>
      <c r="F21" s="560">
        <v>0</v>
      </c>
      <c r="G21" s="512"/>
      <c r="H21" s="516"/>
      <c r="I21" s="517"/>
      <c r="J21" s="516"/>
      <c r="K21" s="517"/>
      <c r="L21" s="553"/>
      <c r="M21" s="554"/>
      <c r="N21" s="553"/>
      <c r="O21" s="554"/>
      <c r="P21" s="553"/>
      <c r="Q21" s="554"/>
      <c r="R21" s="553"/>
      <c r="S21" s="554"/>
      <c r="T21" s="553"/>
      <c r="U21" s="554"/>
      <c r="V21" s="553"/>
      <c r="W21" s="554"/>
      <c r="X21" s="553"/>
      <c r="Y21" s="554"/>
      <c r="Z21" s="553"/>
      <c r="AA21" s="554"/>
      <c r="AB21" s="553"/>
      <c r="AC21" s="558"/>
      <c r="AD21" s="558"/>
      <c r="AE21" s="554"/>
      <c r="AF21" s="2"/>
      <c r="AG21" s="192"/>
    </row>
    <row r="22" spans="1:33" ht="27.6" customHeight="1" x14ac:dyDescent="0.3">
      <c r="A22" s="26" t="s">
        <v>127</v>
      </c>
      <c r="B22" s="620"/>
      <c r="C22" s="621"/>
      <c r="D22" s="560">
        <v>0</v>
      </c>
      <c r="E22" s="512"/>
      <c r="F22" s="560">
        <v>0</v>
      </c>
      <c r="G22" s="512"/>
      <c r="H22" s="516" t="s">
        <v>141</v>
      </c>
      <c r="I22" s="517"/>
      <c r="J22" s="516" t="s">
        <v>141</v>
      </c>
      <c r="K22" s="517"/>
      <c r="L22" s="553" t="s">
        <v>141</v>
      </c>
      <c r="M22" s="554"/>
      <c r="N22" s="553" t="s">
        <v>141</v>
      </c>
      <c r="O22" s="554"/>
      <c r="P22" s="553"/>
      <c r="Q22" s="554"/>
      <c r="R22" s="553"/>
      <c r="S22" s="554"/>
      <c r="T22" s="553"/>
      <c r="U22" s="554"/>
      <c r="V22" s="553"/>
      <c r="W22" s="554"/>
      <c r="X22" s="553"/>
      <c r="Y22" s="554"/>
      <c r="Z22" s="553"/>
      <c r="AA22" s="554"/>
      <c r="AB22" s="553"/>
      <c r="AC22" s="558"/>
      <c r="AD22" s="558"/>
      <c r="AE22" s="554"/>
      <c r="AF22" s="2"/>
      <c r="AG22" s="192"/>
    </row>
    <row r="23" spans="1:33" ht="16.2" customHeight="1" x14ac:dyDescent="0.3">
      <c r="A23" s="26" t="s">
        <v>42</v>
      </c>
      <c r="B23" s="620"/>
      <c r="C23" s="621"/>
      <c r="D23" s="560" t="s">
        <v>89</v>
      </c>
      <c r="E23" s="512"/>
      <c r="F23" s="560" t="s">
        <v>89</v>
      </c>
      <c r="G23" s="512"/>
      <c r="H23" s="516" t="s">
        <v>141</v>
      </c>
      <c r="I23" s="517"/>
      <c r="J23" s="516" t="s">
        <v>141</v>
      </c>
      <c r="K23" s="517"/>
      <c r="L23" s="553" t="s">
        <v>141</v>
      </c>
      <c r="M23" s="554"/>
      <c r="N23" s="553" t="s">
        <v>141</v>
      </c>
      <c r="O23" s="554"/>
      <c r="P23" s="553"/>
      <c r="Q23" s="554"/>
      <c r="R23" s="553"/>
      <c r="S23" s="554"/>
      <c r="T23" s="553"/>
      <c r="U23" s="554"/>
      <c r="V23" s="553"/>
      <c r="W23" s="554"/>
      <c r="X23" s="553"/>
      <c r="Y23" s="554"/>
      <c r="Z23" s="553"/>
      <c r="AA23" s="554"/>
      <c r="AB23" s="553"/>
      <c r="AC23" s="558"/>
      <c r="AD23" s="558"/>
      <c r="AE23" s="554"/>
      <c r="AF23" s="2"/>
      <c r="AG23" s="192"/>
    </row>
    <row r="24" spans="1:33" ht="15.6" hidden="1" customHeight="1" x14ac:dyDescent="0.3">
      <c r="A24" s="29" t="s">
        <v>270</v>
      </c>
      <c r="B24" s="620"/>
      <c r="C24" s="621"/>
      <c r="D24" s="563">
        <v>0</v>
      </c>
      <c r="E24" s="512"/>
      <c r="F24" s="563">
        <v>0</v>
      </c>
      <c r="G24" s="512"/>
      <c r="H24" s="516" t="s">
        <v>141</v>
      </c>
      <c r="I24" s="517"/>
      <c r="J24" s="516" t="s">
        <v>141</v>
      </c>
      <c r="K24" s="517"/>
      <c r="L24" s="553" t="s">
        <v>141</v>
      </c>
      <c r="M24" s="554"/>
      <c r="N24" s="553" t="s">
        <v>141</v>
      </c>
      <c r="O24" s="554"/>
      <c r="P24" s="553"/>
      <c r="Q24" s="554"/>
      <c r="R24" s="553"/>
      <c r="S24" s="554"/>
      <c r="T24" s="553"/>
      <c r="U24" s="554"/>
      <c r="V24" s="553"/>
      <c r="W24" s="554"/>
      <c r="X24" s="553"/>
      <c r="Y24" s="554"/>
      <c r="Z24" s="553"/>
      <c r="AA24" s="554"/>
      <c r="AB24" s="553"/>
      <c r="AC24" s="558"/>
      <c r="AD24" s="558"/>
      <c r="AE24" s="554"/>
      <c r="AF24" s="2"/>
      <c r="AG24" s="192"/>
    </row>
    <row r="25" spans="1:33" ht="15.6" hidden="1" customHeight="1" x14ac:dyDescent="0.3">
      <c r="A25" s="29" t="s">
        <v>271</v>
      </c>
      <c r="B25" s="620"/>
      <c r="C25" s="621"/>
      <c r="D25" s="563">
        <v>0</v>
      </c>
      <c r="E25" s="512"/>
      <c r="F25" s="563">
        <v>0</v>
      </c>
      <c r="G25" s="512"/>
      <c r="H25" s="210"/>
      <c r="I25" s="211"/>
      <c r="J25" s="210"/>
      <c r="K25" s="211"/>
      <c r="L25" s="553"/>
      <c r="M25" s="554"/>
      <c r="N25" s="553"/>
      <c r="O25" s="554"/>
      <c r="P25" s="553"/>
      <c r="Q25" s="554"/>
      <c r="R25" s="553"/>
      <c r="S25" s="554"/>
      <c r="T25" s="553"/>
      <c r="U25" s="554"/>
      <c r="V25" s="553"/>
      <c r="W25" s="554"/>
      <c r="X25" s="553"/>
      <c r="Y25" s="554"/>
      <c r="Z25" s="553"/>
      <c r="AA25" s="554"/>
      <c r="AB25" s="553"/>
      <c r="AC25" s="558"/>
      <c r="AD25" s="558"/>
      <c r="AE25" s="554"/>
      <c r="AF25" s="2"/>
      <c r="AG25" s="192"/>
    </row>
    <row r="26" spans="1:33" ht="16.2" hidden="1" customHeight="1" x14ac:dyDescent="0.3">
      <c r="A26" s="11" t="s">
        <v>160</v>
      </c>
      <c r="B26" s="620"/>
      <c r="C26" s="621"/>
      <c r="D26" s="560">
        <v>0</v>
      </c>
      <c r="E26" s="512"/>
      <c r="F26" s="560">
        <v>0</v>
      </c>
      <c r="G26" s="512"/>
      <c r="H26" s="516" t="s">
        <v>141</v>
      </c>
      <c r="I26" s="517"/>
      <c r="J26" s="516" t="s">
        <v>141</v>
      </c>
      <c r="K26" s="517"/>
      <c r="L26" s="553" t="s">
        <v>141</v>
      </c>
      <c r="M26" s="554"/>
      <c r="N26" s="553" t="s">
        <v>141</v>
      </c>
      <c r="O26" s="554"/>
      <c r="P26" s="553"/>
      <c r="Q26" s="554"/>
      <c r="R26" s="553"/>
      <c r="S26" s="554"/>
      <c r="T26" s="553"/>
      <c r="U26" s="554"/>
      <c r="V26" s="553"/>
      <c r="W26" s="554"/>
      <c r="X26" s="553"/>
      <c r="Y26" s="554"/>
      <c r="Z26" s="553"/>
      <c r="AA26" s="554"/>
      <c r="AB26" s="553"/>
      <c r="AC26" s="558"/>
      <c r="AD26" s="558"/>
      <c r="AE26" s="554"/>
      <c r="AF26" s="2"/>
      <c r="AG26" s="192"/>
    </row>
    <row r="27" spans="1:33" ht="16.2" hidden="1" customHeight="1" x14ac:dyDescent="0.3">
      <c r="A27" s="29" t="s">
        <v>159</v>
      </c>
      <c r="B27" s="620"/>
      <c r="C27" s="621"/>
      <c r="D27" s="560">
        <v>0</v>
      </c>
      <c r="E27" s="512"/>
      <c r="F27" s="560">
        <v>0</v>
      </c>
      <c r="G27" s="512"/>
      <c r="H27" s="516" t="s">
        <v>141</v>
      </c>
      <c r="I27" s="517"/>
      <c r="J27" s="516" t="s">
        <v>141</v>
      </c>
      <c r="K27" s="517"/>
      <c r="L27" s="553" t="s">
        <v>141</v>
      </c>
      <c r="M27" s="554"/>
      <c r="N27" s="553" t="s">
        <v>141</v>
      </c>
      <c r="O27" s="554"/>
      <c r="P27" s="553"/>
      <c r="Q27" s="554"/>
      <c r="R27" s="553"/>
      <c r="S27" s="554"/>
      <c r="T27" s="553"/>
      <c r="U27" s="554"/>
      <c r="V27" s="553"/>
      <c r="W27" s="554"/>
      <c r="X27" s="553"/>
      <c r="Y27" s="554"/>
      <c r="Z27" s="553"/>
      <c r="AA27" s="554"/>
      <c r="AB27" s="553"/>
      <c r="AC27" s="558"/>
      <c r="AD27" s="558"/>
      <c r="AE27" s="554"/>
      <c r="AF27" s="2"/>
      <c r="AG27" s="192"/>
    </row>
    <row r="28" spans="1:33" ht="37.950000000000003" customHeight="1" x14ac:dyDescent="0.3">
      <c r="A28" s="28" t="s">
        <v>164</v>
      </c>
      <c r="B28" s="620"/>
      <c r="C28" s="621"/>
      <c r="D28" s="561" t="s">
        <v>177</v>
      </c>
      <c r="E28" s="562"/>
      <c r="F28" s="561" t="s">
        <v>177</v>
      </c>
      <c r="G28" s="562"/>
      <c r="H28" s="210"/>
      <c r="I28" s="211"/>
      <c r="J28" s="210"/>
      <c r="K28" s="211"/>
      <c r="L28" s="553"/>
      <c r="M28" s="554"/>
      <c r="N28" s="553"/>
      <c r="O28" s="554"/>
      <c r="P28" s="553"/>
      <c r="Q28" s="554"/>
      <c r="R28" s="553"/>
      <c r="S28" s="554"/>
      <c r="T28" s="553"/>
      <c r="U28" s="554"/>
      <c r="V28" s="553"/>
      <c r="W28" s="554"/>
      <c r="X28" s="553"/>
      <c r="Y28" s="554"/>
      <c r="Z28" s="553"/>
      <c r="AA28" s="554"/>
      <c r="AB28" s="553"/>
      <c r="AC28" s="558"/>
      <c r="AD28" s="558"/>
      <c r="AE28" s="554"/>
      <c r="AF28" s="2"/>
      <c r="AG28" s="192"/>
    </row>
    <row r="29" spans="1:33" ht="27.6" customHeight="1" x14ac:dyDescent="0.3">
      <c r="A29" s="9" t="s">
        <v>472</v>
      </c>
      <c r="B29" s="620"/>
      <c r="C29" s="621"/>
      <c r="D29" s="560">
        <v>20</v>
      </c>
      <c r="E29" s="512"/>
      <c r="F29" s="560">
        <v>20</v>
      </c>
      <c r="G29" s="512"/>
      <c r="H29" s="516" t="s">
        <v>141</v>
      </c>
      <c r="I29" s="517"/>
      <c r="J29" s="516" t="s">
        <v>141</v>
      </c>
      <c r="K29" s="517"/>
      <c r="L29" s="553" t="s">
        <v>141</v>
      </c>
      <c r="M29" s="554"/>
      <c r="N29" s="553" t="s">
        <v>141</v>
      </c>
      <c r="O29" s="554"/>
      <c r="P29" s="553"/>
      <c r="Q29" s="554"/>
      <c r="R29" s="553"/>
      <c r="S29" s="554"/>
      <c r="T29" s="553"/>
      <c r="U29" s="554"/>
      <c r="V29" s="553"/>
      <c r="W29" s="554"/>
      <c r="X29" s="553"/>
      <c r="Y29" s="554"/>
      <c r="Z29" s="553"/>
      <c r="AA29" s="554"/>
      <c r="AB29" s="553"/>
      <c r="AC29" s="558"/>
      <c r="AD29" s="558"/>
      <c r="AE29" s="554"/>
      <c r="AF29" s="2"/>
      <c r="AG29" s="192"/>
    </row>
    <row r="30" spans="1:33" ht="16.2" customHeight="1" x14ac:dyDescent="0.3">
      <c r="A30" s="26" t="s">
        <v>90</v>
      </c>
      <c r="B30" s="620"/>
      <c r="C30" s="621"/>
      <c r="D30" s="560">
        <v>5</v>
      </c>
      <c r="E30" s="512"/>
      <c r="F30" s="560">
        <v>5</v>
      </c>
      <c r="G30" s="512"/>
      <c r="H30" s="516" t="s">
        <v>141</v>
      </c>
      <c r="I30" s="517"/>
      <c r="J30" s="516" t="s">
        <v>141</v>
      </c>
      <c r="K30" s="517"/>
      <c r="L30" s="553" t="s">
        <v>141</v>
      </c>
      <c r="M30" s="554"/>
      <c r="N30" s="553" t="s">
        <v>141</v>
      </c>
      <c r="O30" s="554"/>
      <c r="P30" s="553"/>
      <c r="Q30" s="554"/>
      <c r="R30" s="553"/>
      <c r="S30" s="554"/>
      <c r="T30" s="553"/>
      <c r="U30" s="554"/>
      <c r="V30" s="553"/>
      <c r="W30" s="554"/>
      <c r="X30" s="553"/>
      <c r="Y30" s="554"/>
      <c r="Z30" s="553"/>
      <c r="AA30" s="554"/>
      <c r="AB30" s="553"/>
      <c r="AC30" s="558"/>
      <c r="AD30" s="558"/>
      <c r="AE30" s="554"/>
      <c r="AF30" s="2"/>
      <c r="AG30" s="192"/>
    </row>
    <row r="31" spans="1:33" ht="16.2" customHeight="1" x14ac:dyDescent="0.3">
      <c r="A31" s="26" t="s">
        <v>469</v>
      </c>
      <c r="B31" s="620"/>
      <c r="C31" s="621"/>
      <c r="D31" s="560">
        <v>0</v>
      </c>
      <c r="E31" s="512"/>
      <c r="F31" s="560">
        <v>0</v>
      </c>
      <c r="G31" s="512"/>
      <c r="H31" s="516">
        <f>Input_AGI_NumBusStops</f>
        <v>0</v>
      </c>
      <c r="I31" s="517"/>
      <c r="J31" s="516">
        <f>Input_AGI_NumBusStops</f>
        <v>0</v>
      </c>
      <c r="K31" s="517"/>
      <c r="L31" s="553">
        <f>Input_AGI_NumBusStops</f>
        <v>0</v>
      </c>
      <c r="M31" s="554"/>
      <c r="N31" s="553">
        <f>Input_AGI_NumBusStops</f>
        <v>0</v>
      </c>
      <c r="O31" s="554"/>
      <c r="P31" s="553"/>
      <c r="Q31" s="554"/>
      <c r="R31" s="553"/>
      <c r="S31" s="554"/>
      <c r="T31" s="553"/>
      <c r="U31" s="554"/>
      <c r="V31" s="553"/>
      <c r="W31" s="554"/>
      <c r="X31" s="553"/>
      <c r="Y31" s="554"/>
      <c r="Z31" s="553"/>
      <c r="AA31" s="554"/>
      <c r="AB31" s="553"/>
      <c r="AC31" s="558"/>
      <c r="AD31" s="558"/>
      <c r="AE31" s="554"/>
      <c r="AF31" s="2"/>
      <c r="AG31" s="192"/>
    </row>
    <row r="32" spans="1:33" ht="16.2" customHeight="1" x14ac:dyDescent="0.3">
      <c r="A32" s="26" t="s">
        <v>470</v>
      </c>
      <c r="B32" s="620"/>
      <c r="C32" s="621"/>
      <c r="D32" s="560" t="s">
        <v>89</v>
      </c>
      <c r="E32" s="512"/>
      <c r="F32" s="560" t="s">
        <v>89</v>
      </c>
      <c r="G32" s="512"/>
      <c r="H32" s="516" t="str">
        <f>Input_AGI_HasSchool</f>
        <v>No</v>
      </c>
      <c r="I32" s="517"/>
      <c r="J32" s="516" t="str">
        <f>Input_AGI_HasSchool</f>
        <v>No</v>
      </c>
      <c r="K32" s="517"/>
      <c r="L32" s="553" t="str">
        <f>Input_AGI_HasSchool</f>
        <v>No</v>
      </c>
      <c r="M32" s="554"/>
      <c r="N32" s="553" t="str">
        <f>Input_AGI_HasSchool</f>
        <v>No</v>
      </c>
      <c r="O32" s="554"/>
      <c r="P32" s="553"/>
      <c r="Q32" s="554"/>
      <c r="R32" s="553"/>
      <c r="S32" s="554"/>
      <c r="T32" s="553"/>
      <c r="U32" s="554"/>
      <c r="V32" s="553"/>
      <c r="W32" s="554"/>
      <c r="X32" s="553"/>
      <c r="Y32" s="554"/>
      <c r="Z32" s="553"/>
      <c r="AA32" s="554"/>
      <c r="AB32" s="553"/>
      <c r="AC32" s="558"/>
      <c r="AD32" s="558"/>
      <c r="AE32" s="554"/>
      <c r="AF32" s="2"/>
      <c r="AG32" s="192"/>
    </row>
    <row r="33" spans="1:33" ht="30" customHeight="1" x14ac:dyDescent="0.3">
      <c r="A33" s="27" t="s">
        <v>471</v>
      </c>
      <c r="B33" s="622"/>
      <c r="C33" s="623"/>
      <c r="D33" s="560">
        <v>0</v>
      </c>
      <c r="E33" s="512"/>
      <c r="F33" s="560">
        <v>0</v>
      </c>
      <c r="G33" s="512"/>
      <c r="H33" s="566">
        <f>Input_AGI_NumABC</f>
        <v>0</v>
      </c>
      <c r="I33" s="567"/>
      <c r="J33" s="566">
        <f>Input_AGI_NumABC</f>
        <v>0</v>
      </c>
      <c r="K33" s="567"/>
      <c r="L33" s="555">
        <f>Input_AGI_NumABC</f>
        <v>0</v>
      </c>
      <c r="M33" s="556"/>
      <c r="N33" s="555">
        <f>Input_AGI_NumABC</f>
        <v>0</v>
      </c>
      <c r="O33" s="556"/>
      <c r="P33" s="555"/>
      <c r="Q33" s="556"/>
      <c r="R33" s="555"/>
      <c r="S33" s="556"/>
      <c r="T33" s="555"/>
      <c r="U33" s="556"/>
      <c r="V33" s="555"/>
      <c r="W33" s="556"/>
      <c r="X33" s="555"/>
      <c r="Y33" s="556"/>
      <c r="Z33" s="555"/>
      <c r="AA33" s="556"/>
      <c r="AB33" s="555"/>
      <c r="AC33" s="559"/>
      <c r="AD33" s="559"/>
      <c r="AE33" s="556"/>
      <c r="AF33" s="2"/>
      <c r="AG33" s="192"/>
    </row>
    <row r="34" spans="1:33" ht="39" hidden="1" customHeight="1" x14ac:dyDescent="0.3">
      <c r="A34" s="269"/>
      <c r="B34" s="534" t="s">
        <v>415</v>
      </c>
      <c r="C34" s="534"/>
      <c r="D34" s="534"/>
      <c r="E34" s="534"/>
      <c r="F34" s="534"/>
      <c r="G34" s="534"/>
      <c r="H34" s="534"/>
      <c r="I34" s="534"/>
      <c r="J34" s="534"/>
      <c r="K34" s="534"/>
      <c r="L34" s="534"/>
      <c r="M34" s="534"/>
      <c r="N34" s="534"/>
      <c r="O34" s="535"/>
      <c r="P34" s="2"/>
      <c r="Q34" s="2"/>
      <c r="R34" s="2"/>
      <c r="S34" s="2"/>
      <c r="T34" s="2"/>
      <c r="U34" s="2"/>
      <c r="V34" s="264"/>
      <c r="W34" s="2"/>
      <c r="X34" s="2"/>
      <c r="Y34" s="2"/>
      <c r="Z34" s="2"/>
      <c r="AA34" s="2"/>
      <c r="AB34" s="2"/>
      <c r="AC34" s="2"/>
      <c r="AD34" s="2"/>
      <c r="AE34" s="2"/>
      <c r="AF34" s="2"/>
      <c r="AG34" s="192"/>
    </row>
    <row r="35" spans="1:33" hidden="1" x14ac:dyDescent="0.3">
      <c r="A35" s="265" t="s">
        <v>402</v>
      </c>
      <c r="B35" s="530"/>
      <c r="C35" s="531"/>
      <c r="D35" s="530"/>
      <c r="E35" s="531"/>
      <c r="F35" s="530"/>
      <c r="G35" s="531"/>
      <c r="H35" s="532"/>
      <c r="I35" s="533"/>
      <c r="J35" s="530"/>
      <c r="K35" s="531"/>
      <c r="L35" s="536">
        <v>130</v>
      </c>
      <c r="M35" s="537"/>
      <c r="N35" s="530">
        <v>125</v>
      </c>
      <c r="O35" s="531"/>
      <c r="P35" s="2"/>
      <c r="Q35" s="2"/>
      <c r="R35" s="2"/>
      <c r="S35" s="2"/>
      <c r="T35" s="2"/>
      <c r="U35" s="2"/>
      <c r="V35" s="2"/>
      <c r="W35" s="2"/>
      <c r="X35" s="2"/>
      <c r="Y35" s="2"/>
      <c r="Z35" s="2"/>
      <c r="AA35" s="2"/>
      <c r="AB35" s="2"/>
      <c r="AC35" s="2"/>
      <c r="AD35" s="2"/>
      <c r="AE35" s="2"/>
      <c r="AF35" s="2"/>
      <c r="AG35" s="192"/>
    </row>
    <row r="36" spans="1:33" hidden="1" x14ac:dyDescent="0.3">
      <c r="A36" s="263" t="s">
        <v>403</v>
      </c>
      <c r="B36" s="513" t="s">
        <v>403</v>
      </c>
      <c r="C36" s="514"/>
      <c r="D36" s="514"/>
      <c r="E36" s="514"/>
      <c r="F36" s="514"/>
      <c r="G36" s="514"/>
      <c r="H36" s="514"/>
      <c r="I36" s="514"/>
      <c r="J36" s="514"/>
      <c r="K36" s="514"/>
      <c r="L36" s="514"/>
      <c r="M36" s="514"/>
      <c r="N36" s="514"/>
      <c r="O36" s="515"/>
      <c r="P36" s="2"/>
      <c r="Q36" s="2"/>
      <c r="R36" s="2"/>
      <c r="S36" s="2"/>
      <c r="T36" s="2"/>
      <c r="U36" s="2"/>
      <c r="V36" s="2"/>
      <c r="W36" s="2"/>
      <c r="X36" s="2"/>
      <c r="Y36" s="2"/>
      <c r="Z36" s="2"/>
      <c r="AA36" s="2"/>
      <c r="AB36" s="2"/>
      <c r="AC36" s="2"/>
      <c r="AD36" s="2"/>
      <c r="AE36" s="2"/>
      <c r="AF36" s="2"/>
      <c r="AG36" s="192"/>
    </row>
    <row r="37" spans="1:33" hidden="1" x14ac:dyDescent="0.3">
      <c r="A37" s="266" t="s">
        <v>409</v>
      </c>
      <c r="B37" s="516"/>
      <c r="C37" s="517"/>
      <c r="D37" s="516"/>
      <c r="E37" s="517"/>
      <c r="F37" s="516"/>
      <c r="G37" s="517"/>
      <c r="H37" s="522"/>
      <c r="I37" s="523"/>
      <c r="J37" s="522"/>
      <c r="K37" s="523"/>
      <c r="L37" s="524">
        <f>('Control Strategy Selection'!D13)*0.5</f>
        <v>0</v>
      </c>
      <c r="M37" s="508"/>
      <c r="N37" s="524">
        <f>('Control Strategy Selection'!D13)*0.5</f>
        <v>0</v>
      </c>
      <c r="O37" s="525"/>
      <c r="P37" s="2"/>
      <c r="Q37" s="2"/>
      <c r="R37" s="2"/>
      <c r="S37" s="2"/>
      <c r="T37" s="2"/>
      <c r="U37" s="2"/>
      <c r="V37" s="2"/>
      <c r="W37" s="2"/>
      <c r="X37" s="2"/>
      <c r="Y37" s="2"/>
      <c r="Z37" s="2"/>
      <c r="AA37" s="2"/>
      <c r="AB37" s="2"/>
      <c r="AC37" s="2"/>
      <c r="AD37" s="2"/>
      <c r="AE37" s="2"/>
      <c r="AF37" s="2"/>
      <c r="AG37" s="192"/>
    </row>
    <row r="38" spans="1:33" hidden="1" x14ac:dyDescent="0.3">
      <c r="A38" s="267" t="s">
        <v>406</v>
      </c>
      <c r="B38" s="516"/>
      <c r="C38" s="517"/>
      <c r="D38" s="516"/>
      <c r="E38" s="517"/>
      <c r="F38" s="516"/>
      <c r="G38" s="517"/>
      <c r="H38" s="522"/>
      <c r="I38" s="523"/>
      <c r="J38" s="516"/>
      <c r="K38" s="517"/>
      <c r="L38" s="511" t="s">
        <v>89</v>
      </c>
      <c r="M38" s="512"/>
      <c r="N38" s="511" t="s">
        <v>89</v>
      </c>
      <c r="O38" s="512"/>
      <c r="P38" s="2"/>
      <c r="Q38" s="2"/>
      <c r="R38" s="2"/>
      <c r="S38" s="2"/>
      <c r="T38" s="2"/>
      <c r="U38" s="2"/>
      <c r="V38" s="2"/>
      <c r="W38" s="2"/>
      <c r="X38" s="2"/>
      <c r="Y38" s="2"/>
      <c r="Z38" s="2"/>
      <c r="AA38" s="2"/>
      <c r="AB38" s="2"/>
      <c r="AC38" s="2"/>
      <c r="AD38" s="2"/>
      <c r="AE38" s="2"/>
      <c r="AF38" s="2"/>
      <c r="AG38" s="192"/>
    </row>
    <row r="39" spans="1:33" hidden="1" x14ac:dyDescent="0.3">
      <c r="A39" s="267" t="s">
        <v>413</v>
      </c>
      <c r="B39" s="516"/>
      <c r="C39" s="517"/>
      <c r="D39" s="516"/>
      <c r="E39" s="517"/>
      <c r="F39" s="516"/>
      <c r="G39" s="517"/>
      <c r="H39" s="516"/>
      <c r="I39" s="517"/>
      <c r="J39" s="520"/>
      <c r="K39" s="521"/>
      <c r="L39" s="507">
        <v>0</v>
      </c>
      <c r="M39" s="508"/>
      <c r="N39" s="509">
        <v>0</v>
      </c>
      <c r="O39" s="510"/>
      <c r="P39" s="2"/>
      <c r="Q39" s="2"/>
      <c r="R39" s="2"/>
      <c r="S39" s="2"/>
      <c r="T39" s="2"/>
      <c r="U39" s="2"/>
      <c r="V39" s="2"/>
      <c r="W39" s="2"/>
      <c r="X39" s="2"/>
      <c r="Y39" s="2"/>
      <c r="Z39" s="2"/>
      <c r="AA39" s="2"/>
      <c r="AB39" s="2"/>
      <c r="AC39" s="2"/>
      <c r="AD39" s="2"/>
      <c r="AE39" s="2"/>
      <c r="AF39" s="2"/>
      <c r="AG39" s="192"/>
    </row>
    <row r="40" spans="1:33" hidden="1" x14ac:dyDescent="0.3">
      <c r="A40" s="267" t="s">
        <v>405</v>
      </c>
      <c r="B40" s="516"/>
      <c r="C40" s="517"/>
      <c r="D40" s="516"/>
      <c r="E40" s="517"/>
      <c r="F40" s="516"/>
      <c r="G40" s="517"/>
      <c r="H40" s="516"/>
      <c r="I40" s="517"/>
      <c r="J40" s="520"/>
      <c r="K40" s="521"/>
      <c r="L40" s="509">
        <v>29</v>
      </c>
      <c r="M40" s="510"/>
      <c r="N40" s="507">
        <v>29</v>
      </c>
      <c r="O40" s="508"/>
      <c r="P40" s="2"/>
      <c r="Q40" s="2"/>
      <c r="R40" s="2"/>
      <c r="S40" s="2"/>
      <c r="T40" s="2"/>
      <c r="U40" s="2"/>
      <c r="V40" s="2"/>
      <c r="W40" s="2"/>
      <c r="X40" s="2"/>
      <c r="Y40" s="2"/>
      <c r="Z40" s="2"/>
      <c r="AA40" s="2"/>
      <c r="AB40" s="2"/>
      <c r="AC40" s="2"/>
      <c r="AD40" s="2"/>
      <c r="AE40" s="2"/>
      <c r="AF40" s="2"/>
      <c r="AG40" s="192"/>
    </row>
    <row r="41" spans="1:33" hidden="1" x14ac:dyDescent="0.3">
      <c r="A41" s="267" t="s">
        <v>412</v>
      </c>
      <c r="B41" s="516"/>
      <c r="C41" s="517"/>
      <c r="D41" s="516"/>
      <c r="E41" s="517"/>
      <c r="F41" s="516"/>
      <c r="G41" s="517"/>
      <c r="H41" s="516"/>
      <c r="I41" s="517"/>
      <c r="J41" s="520"/>
      <c r="K41" s="521"/>
      <c r="L41" s="509">
        <v>2</v>
      </c>
      <c r="M41" s="510"/>
      <c r="N41" s="507">
        <v>2</v>
      </c>
      <c r="O41" s="508"/>
      <c r="P41" s="2"/>
      <c r="Q41" s="2"/>
      <c r="R41" s="2"/>
      <c r="S41" s="2"/>
      <c r="T41" s="2"/>
      <c r="U41" s="2"/>
      <c r="V41" s="2"/>
      <c r="W41" s="2"/>
      <c r="X41" s="2"/>
      <c r="Y41" s="2"/>
      <c r="Z41" s="2"/>
      <c r="AA41" s="2"/>
      <c r="AB41" s="2"/>
      <c r="AC41" s="2"/>
      <c r="AD41" s="2"/>
      <c r="AE41" s="2"/>
      <c r="AF41" s="2"/>
      <c r="AG41" s="192"/>
    </row>
    <row r="42" spans="1:33" hidden="1" x14ac:dyDescent="0.3">
      <c r="A42" s="267" t="s">
        <v>414</v>
      </c>
      <c r="B42" s="516"/>
      <c r="C42" s="517"/>
      <c r="D42" s="516"/>
      <c r="E42" s="517"/>
      <c r="F42" s="516"/>
      <c r="G42" s="517"/>
      <c r="H42" s="516"/>
      <c r="I42" s="517"/>
      <c r="J42" s="520"/>
      <c r="K42" s="521"/>
      <c r="L42" s="509">
        <v>2</v>
      </c>
      <c r="M42" s="510"/>
      <c r="N42" s="507">
        <v>2</v>
      </c>
      <c r="O42" s="508"/>
      <c r="P42" s="2"/>
      <c r="Q42" s="2"/>
      <c r="R42" s="2"/>
      <c r="S42" s="2"/>
      <c r="T42" s="2"/>
      <c r="U42" s="2"/>
      <c r="V42" s="2"/>
      <c r="W42" s="2"/>
      <c r="X42" s="2"/>
      <c r="Y42" s="2"/>
      <c r="Z42" s="2"/>
      <c r="AA42" s="2"/>
      <c r="AB42" s="2"/>
      <c r="AC42" s="2"/>
      <c r="AD42" s="2"/>
      <c r="AE42" s="2"/>
      <c r="AF42" s="2"/>
      <c r="AG42" s="192"/>
    </row>
    <row r="43" spans="1:33" hidden="1" x14ac:dyDescent="0.3">
      <c r="A43" s="263" t="s">
        <v>404</v>
      </c>
      <c r="B43" s="513" t="s">
        <v>404</v>
      </c>
      <c r="C43" s="514"/>
      <c r="D43" s="514"/>
      <c r="E43" s="514"/>
      <c r="F43" s="514"/>
      <c r="G43" s="514"/>
      <c r="H43" s="514"/>
      <c r="I43" s="514"/>
      <c r="J43" s="514"/>
      <c r="K43" s="514"/>
      <c r="L43" s="514"/>
      <c r="M43" s="514"/>
      <c r="N43" s="514"/>
      <c r="O43" s="515"/>
      <c r="P43" s="2"/>
      <c r="Q43" s="2"/>
      <c r="R43" s="2"/>
      <c r="S43" s="2"/>
      <c r="T43" s="2"/>
      <c r="U43" s="2"/>
      <c r="V43" s="2"/>
      <c r="W43" s="2"/>
      <c r="X43" s="2"/>
      <c r="Y43" s="2"/>
      <c r="Z43" s="2"/>
      <c r="AA43" s="2"/>
      <c r="AB43" s="2"/>
      <c r="AC43" s="2"/>
      <c r="AD43" s="2"/>
      <c r="AE43" s="2"/>
      <c r="AF43" s="2"/>
      <c r="AG43" s="192"/>
    </row>
    <row r="44" spans="1:33" hidden="1" x14ac:dyDescent="0.3">
      <c r="A44" s="266" t="s">
        <v>409</v>
      </c>
      <c r="B44" s="516"/>
      <c r="C44" s="517"/>
      <c r="D44" s="516"/>
      <c r="E44" s="517"/>
      <c r="F44" s="516"/>
      <c r="G44" s="517"/>
      <c r="H44" s="516"/>
      <c r="I44" s="517"/>
      <c r="J44" s="516"/>
      <c r="K44" s="517"/>
      <c r="L44" s="518">
        <f>('Control Strategy Selection'!$D$13)-Input_AGI_R1_AADT_L1</f>
        <v>0</v>
      </c>
      <c r="M44" s="519"/>
      <c r="N44" s="518">
        <f>('Control Strategy Selection'!$D$13)-Input_AGI_R2_AADT_L1</f>
        <v>0</v>
      </c>
      <c r="O44" s="519"/>
      <c r="P44" s="2" t="s">
        <v>439</v>
      </c>
      <c r="Q44" s="2"/>
      <c r="R44" s="2"/>
      <c r="S44" s="2"/>
      <c r="T44" s="2"/>
      <c r="U44" s="2"/>
      <c r="V44" s="2"/>
      <c r="W44" s="2"/>
      <c r="X44" s="2"/>
      <c r="Y44" s="2"/>
      <c r="Z44" s="2"/>
      <c r="AA44" s="2"/>
      <c r="AB44" s="2"/>
      <c r="AC44" s="2"/>
      <c r="AD44" s="2"/>
      <c r="AE44" s="2"/>
      <c r="AF44" s="2"/>
      <c r="AG44" s="192"/>
    </row>
    <row r="45" spans="1:33" hidden="1" x14ac:dyDescent="0.3">
      <c r="A45" s="267" t="s">
        <v>406</v>
      </c>
      <c r="B45" s="516"/>
      <c r="C45" s="517"/>
      <c r="D45" s="516"/>
      <c r="E45" s="517"/>
      <c r="F45" s="516"/>
      <c r="G45" s="517"/>
      <c r="H45" s="516"/>
      <c r="I45" s="517"/>
      <c r="J45" s="516"/>
      <c r="K45" s="517"/>
      <c r="L45" s="511" t="s">
        <v>89</v>
      </c>
      <c r="M45" s="512"/>
      <c r="N45" s="511" t="s">
        <v>89</v>
      </c>
      <c r="O45" s="512"/>
      <c r="P45" s="2"/>
      <c r="Q45" s="2"/>
      <c r="R45" s="2"/>
      <c r="S45" s="2"/>
      <c r="T45" s="2"/>
      <c r="U45" s="2"/>
      <c r="V45" s="2"/>
      <c r="W45" s="2"/>
      <c r="X45" s="2"/>
      <c r="Y45" s="2"/>
      <c r="Z45" s="2"/>
      <c r="AA45" s="2"/>
      <c r="AB45" s="2"/>
      <c r="AC45" s="2"/>
      <c r="AD45" s="2"/>
      <c r="AE45" s="2"/>
      <c r="AF45" s="2"/>
      <c r="AG45" s="192"/>
    </row>
    <row r="46" spans="1:33" hidden="1" x14ac:dyDescent="0.3">
      <c r="A46" s="267" t="s">
        <v>413</v>
      </c>
      <c r="B46" s="516"/>
      <c r="C46" s="517"/>
      <c r="D46" s="516"/>
      <c r="E46" s="517"/>
      <c r="F46" s="516"/>
      <c r="G46" s="517"/>
      <c r="H46" s="516"/>
      <c r="I46" s="517"/>
      <c r="J46" s="516"/>
      <c r="K46" s="517"/>
      <c r="L46" s="507">
        <v>0</v>
      </c>
      <c r="M46" s="508"/>
      <c r="N46" s="509">
        <v>0</v>
      </c>
      <c r="O46" s="510"/>
      <c r="P46" s="2"/>
      <c r="Q46" s="2"/>
      <c r="R46" s="2"/>
      <c r="S46" s="2"/>
      <c r="T46" s="2"/>
      <c r="U46" s="2"/>
      <c r="V46" s="2"/>
      <c r="W46" s="2"/>
      <c r="X46" s="2"/>
      <c r="Y46" s="2"/>
      <c r="Z46" s="2"/>
      <c r="AA46" s="2"/>
      <c r="AB46" s="2"/>
      <c r="AC46" s="2"/>
      <c r="AD46" s="2"/>
      <c r="AE46" s="2"/>
      <c r="AF46" s="2"/>
      <c r="AG46" s="192"/>
    </row>
    <row r="47" spans="1:33" hidden="1" x14ac:dyDescent="0.3">
      <c r="A47" s="267" t="s">
        <v>405</v>
      </c>
      <c r="B47" s="516"/>
      <c r="C47" s="517"/>
      <c r="D47" s="516"/>
      <c r="E47" s="517"/>
      <c r="F47" s="516"/>
      <c r="G47" s="517"/>
      <c r="H47" s="516"/>
      <c r="I47" s="517"/>
      <c r="J47" s="516"/>
      <c r="K47" s="517"/>
      <c r="L47" s="509">
        <v>29</v>
      </c>
      <c r="M47" s="510"/>
      <c r="N47" s="507">
        <v>29</v>
      </c>
      <c r="O47" s="508"/>
      <c r="P47" s="2"/>
      <c r="Q47" s="2"/>
      <c r="R47" s="2"/>
      <c r="S47" s="2"/>
      <c r="T47" s="2"/>
      <c r="U47" s="2"/>
      <c r="V47" s="2"/>
      <c r="W47" s="2"/>
      <c r="X47" s="2"/>
      <c r="Y47" s="2"/>
      <c r="Z47" s="2"/>
      <c r="AA47" s="2"/>
      <c r="AB47" s="2"/>
      <c r="AC47" s="2"/>
      <c r="AD47" s="2"/>
      <c r="AE47" s="2"/>
      <c r="AF47" s="2"/>
      <c r="AG47" s="192"/>
    </row>
    <row r="48" spans="1:33" hidden="1" x14ac:dyDescent="0.3">
      <c r="A48" s="267" t="s">
        <v>412</v>
      </c>
      <c r="B48" s="516"/>
      <c r="C48" s="517"/>
      <c r="D48" s="516"/>
      <c r="E48" s="517"/>
      <c r="F48" s="516"/>
      <c r="G48" s="517"/>
      <c r="H48" s="516"/>
      <c r="I48" s="517"/>
      <c r="J48" s="516"/>
      <c r="K48" s="517"/>
      <c r="L48" s="509">
        <v>2</v>
      </c>
      <c r="M48" s="510"/>
      <c r="N48" s="507">
        <v>2</v>
      </c>
      <c r="O48" s="508"/>
      <c r="P48" s="2"/>
      <c r="Q48" s="2"/>
      <c r="R48" s="2"/>
      <c r="S48" s="2"/>
      <c r="T48" s="2"/>
      <c r="U48" s="2"/>
      <c r="V48" s="2"/>
      <c r="W48" s="2"/>
      <c r="X48" s="2"/>
      <c r="Y48" s="2"/>
      <c r="Z48" s="2"/>
      <c r="AA48" s="2"/>
      <c r="AB48" s="2"/>
      <c r="AC48" s="2"/>
      <c r="AD48" s="2"/>
      <c r="AE48" s="2"/>
      <c r="AF48" s="2"/>
      <c r="AG48" s="192"/>
    </row>
    <row r="49" spans="1:33" hidden="1" x14ac:dyDescent="0.3">
      <c r="A49" s="267" t="s">
        <v>414</v>
      </c>
      <c r="B49" s="516"/>
      <c r="C49" s="517"/>
      <c r="D49" s="516"/>
      <c r="E49" s="517"/>
      <c r="F49" s="516"/>
      <c r="G49" s="517"/>
      <c r="H49" s="516"/>
      <c r="I49" s="517"/>
      <c r="J49" s="516"/>
      <c r="K49" s="517"/>
      <c r="L49" s="509">
        <v>2</v>
      </c>
      <c r="M49" s="510"/>
      <c r="N49" s="507">
        <v>2</v>
      </c>
      <c r="O49" s="508"/>
      <c r="P49" s="2"/>
      <c r="Q49" s="2"/>
      <c r="R49" s="2"/>
      <c r="S49" s="2"/>
      <c r="T49" s="2"/>
      <c r="U49" s="2"/>
      <c r="V49" s="2"/>
      <c r="W49" s="2"/>
      <c r="X49" s="2"/>
      <c r="Y49" s="2"/>
      <c r="Z49" s="2"/>
      <c r="AA49" s="2"/>
      <c r="AB49" s="2"/>
      <c r="AC49" s="2"/>
      <c r="AD49" s="2"/>
      <c r="AE49" s="2"/>
      <c r="AF49" s="2"/>
      <c r="AG49" s="192"/>
    </row>
    <row r="50" spans="1:33" hidden="1" x14ac:dyDescent="0.3">
      <c r="A50" s="263" t="s">
        <v>407</v>
      </c>
      <c r="B50" s="513" t="s">
        <v>407</v>
      </c>
      <c r="C50" s="514"/>
      <c r="D50" s="514"/>
      <c r="E50" s="514"/>
      <c r="F50" s="514"/>
      <c r="G50" s="514"/>
      <c r="H50" s="514"/>
      <c r="I50" s="514"/>
      <c r="J50" s="514"/>
      <c r="K50" s="514"/>
      <c r="L50" s="514"/>
      <c r="M50" s="514"/>
      <c r="N50" s="514"/>
      <c r="O50" s="515"/>
      <c r="P50" s="2"/>
      <c r="Q50" s="2"/>
      <c r="R50" s="2"/>
      <c r="S50" s="2"/>
      <c r="T50" s="2"/>
      <c r="U50" s="2"/>
      <c r="V50" s="2"/>
      <c r="W50" s="2"/>
      <c r="X50" s="2"/>
      <c r="Y50" s="2"/>
      <c r="Z50" s="2"/>
      <c r="AA50" s="2"/>
      <c r="AB50" s="2"/>
      <c r="AC50" s="2"/>
      <c r="AD50" s="2"/>
      <c r="AE50" s="2"/>
      <c r="AF50" s="2"/>
      <c r="AG50" s="192"/>
    </row>
    <row r="51" spans="1:33" hidden="1" x14ac:dyDescent="0.3">
      <c r="A51" s="266" t="s">
        <v>409</v>
      </c>
      <c r="B51" s="516"/>
      <c r="C51" s="517"/>
      <c r="D51" s="516"/>
      <c r="E51" s="517"/>
      <c r="F51" s="516"/>
      <c r="G51" s="517"/>
      <c r="H51" s="516"/>
      <c r="I51" s="517"/>
      <c r="J51" s="516"/>
      <c r="K51" s="517"/>
      <c r="L51" s="507">
        <f>('Control Strategy Selection'!D14)*0.5</f>
        <v>0</v>
      </c>
      <c r="M51" s="508"/>
      <c r="N51" s="507">
        <f>('Control Strategy Selection'!D14)*0.5</f>
        <v>0</v>
      </c>
      <c r="O51" s="508"/>
      <c r="P51" s="2"/>
      <c r="Q51" s="2"/>
      <c r="R51" s="2"/>
      <c r="S51" s="2"/>
      <c r="T51" s="2"/>
      <c r="U51" s="2"/>
      <c r="V51" s="2"/>
      <c r="W51" s="2"/>
      <c r="X51" s="2"/>
      <c r="Y51" s="2"/>
      <c r="Z51" s="2"/>
      <c r="AA51" s="2"/>
      <c r="AB51" s="2"/>
      <c r="AC51" s="2"/>
      <c r="AD51" s="2"/>
      <c r="AE51" s="2"/>
      <c r="AF51" s="2"/>
      <c r="AG51" s="192"/>
    </row>
    <row r="52" spans="1:33" hidden="1" x14ac:dyDescent="0.3">
      <c r="A52" s="267" t="s">
        <v>406</v>
      </c>
      <c r="B52" s="516"/>
      <c r="C52" s="517"/>
      <c r="D52" s="516"/>
      <c r="E52" s="517"/>
      <c r="F52" s="516"/>
      <c r="G52" s="517"/>
      <c r="H52" s="516"/>
      <c r="I52" s="517"/>
      <c r="J52" s="516"/>
      <c r="K52" s="517"/>
      <c r="L52" s="511" t="s">
        <v>89</v>
      </c>
      <c r="M52" s="512"/>
      <c r="N52" s="511" t="s">
        <v>89</v>
      </c>
      <c r="O52" s="512"/>
      <c r="P52" s="2"/>
      <c r="Q52" s="2"/>
      <c r="R52" s="2"/>
      <c r="S52" s="2"/>
      <c r="T52" s="2"/>
      <c r="U52" s="2"/>
      <c r="V52" s="2"/>
      <c r="W52" s="2"/>
      <c r="X52" s="2"/>
      <c r="Y52" s="2"/>
      <c r="Z52" s="2"/>
      <c r="AA52" s="2"/>
      <c r="AB52" s="2"/>
      <c r="AC52" s="2"/>
      <c r="AD52" s="2"/>
      <c r="AE52" s="2"/>
      <c r="AF52" s="2"/>
      <c r="AG52" s="192"/>
    </row>
    <row r="53" spans="1:33" hidden="1" x14ac:dyDescent="0.3">
      <c r="A53" s="267" t="s">
        <v>413</v>
      </c>
      <c r="B53" s="516"/>
      <c r="C53" s="517"/>
      <c r="D53" s="516"/>
      <c r="E53" s="517"/>
      <c r="F53" s="516"/>
      <c r="G53" s="517"/>
      <c r="H53" s="516"/>
      <c r="I53" s="517"/>
      <c r="J53" s="516"/>
      <c r="K53" s="517"/>
      <c r="L53" s="507">
        <v>0</v>
      </c>
      <c r="M53" s="508"/>
      <c r="N53" s="509">
        <v>0</v>
      </c>
      <c r="O53" s="510"/>
      <c r="P53" s="2"/>
      <c r="Q53" s="2"/>
      <c r="R53" s="2"/>
      <c r="S53" s="2"/>
      <c r="T53" s="2"/>
      <c r="U53" s="2"/>
      <c r="V53" s="2"/>
      <c r="W53" s="2"/>
      <c r="X53" s="2"/>
      <c r="Y53" s="2"/>
      <c r="Z53" s="2"/>
      <c r="AA53" s="2"/>
      <c r="AB53" s="2"/>
      <c r="AC53" s="2"/>
      <c r="AD53" s="2"/>
      <c r="AE53" s="2"/>
      <c r="AF53" s="2"/>
      <c r="AG53" s="192"/>
    </row>
    <row r="54" spans="1:33" hidden="1" x14ac:dyDescent="0.3">
      <c r="A54" s="267" t="s">
        <v>405</v>
      </c>
      <c r="B54" s="516"/>
      <c r="C54" s="517"/>
      <c r="D54" s="516"/>
      <c r="E54" s="517"/>
      <c r="F54" s="516"/>
      <c r="G54" s="517"/>
      <c r="H54" s="516"/>
      <c r="I54" s="517"/>
      <c r="J54" s="516"/>
      <c r="K54" s="517"/>
      <c r="L54" s="509">
        <v>29</v>
      </c>
      <c r="M54" s="510"/>
      <c r="N54" s="507">
        <v>29</v>
      </c>
      <c r="O54" s="508"/>
      <c r="P54" s="2"/>
      <c r="Q54" s="2"/>
      <c r="R54" s="2"/>
      <c r="S54" s="2"/>
      <c r="T54" s="2"/>
      <c r="U54" s="2"/>
      <c r="V54" s="2"/>
      <c r="W54" s="2"/>
      <c r="X54" s="2"/>
      <c r="Y54" s="2"/>
      <c r="Z54" s="2"/>
      <c r="AA54" s="2"/>
      <c r="AB54" s="2"/>
      <c r="AC54" s="2"/>
      <c r="AD54" s="2"/>
      <c r="AE54" s="2"/>
      <c r="AF54" s="2"/>
      <c r="AG54" s="192"/>
    </row>
    <row r="55" spans="1:33" hidden="1" x14ac:dyDescent="0.3">
      <c r="A55" s="267" t="s">
        <v>412</v>
      </c>
      <c r="B55" s="516"/>
      <c r="C55" s="517"/>
      <c r="D55" s="516"/>
      <c r="E55" s="517"/>
      <c r="F55" s="516"/>
      <c r="G55" s="517"/>
      <c r="H55" s="516"/>
      <c r="I55" s="517"/>
      <c r="J55" s="516"/>
      <c r="K55" s="517"/>
      <c r="L55" s="509">
        <v>2</v>
      </c>
      <c r="M55" s="510"/>
      <c r="N55" s="507">
        <v>2</v>
      </c>
      <c r="O55" s="508"/>
      <c r="P55" s="2"/>
      <c r="Q55" s="2"/>
      <c r="R55" s="2"/>
      <c r="S55" s="2"/>
      <c r="T55" s="2"/>
      <c r="U55" s="2"/>
      <c r="V55" s="2"/>
      <c r="W55" s="2"/>
      <c r="X55" s="2"/>
      <c r="Y55" s="2"/>
      <c r="Z55" s="2"/>
      <c r="AA55" s="2"/>
      <c r="AB55" s="2"/>
      <c r="AC55" s="2"/>
      <c r="AD55" s="2"/>
      <c r="AE55" s="2"/>
      <c r="AF55" s="2"/>
      <c r="AG55" s="192"/>
    </row>
    <row r="56" spans="1:33" hidden="1" x14ac:dyDescent="0.3">
      <c r="A56" s="267" t="s">
        <v>414</v>
      </c>
      <c r="B56" s="516"/>
      <c r="C56" s="517"/>
      <c r="D56" s="516"/>
      <c r="E56" s="517"/>
      <c r="F56" s="516"/>
      <c r="G56" s="517"/>
      <c r="H56" s="516"/>
      <c r="I56" s="517"/>
      <c r="J56" s="516"/>
      <c r="K56" s="517"/>
      <c r="L56" s="509">
        <v>2</v>
      </c>
      <c r="M56" s="510"/>
      <c r="N56" s="507">
        <v>2</v>
      </c>
      <c r="O56" s="508"/>
      <c r="P56" s="2"/>
      <c r="Q56" s="2"/>
      <c r="R56" s="2"/>
      <c r="S56" s="2"/>
      <c r="T56" s="2"/>
      <c r="U56" s="2"/>
      <c r="V56" s="2"/>
      <c r="W56" s="2"/>
      <c r="X56" s="2"/>
      <c r="Y56" s="2"/>
      <c r="Z56" s="2"/>
      <c r="AA56" s="2"/>
      <c r="AB56" s="2"/>
      <c r="AC56" s="2"/>
      <c r="AD56" s="2"/>
      <c r="AE56" s="2"/>
      <c r="AF56" s="2"/>
      <c r="AG56" s="192"/>
    </row>
    <row r="57" spans="1:33" hidden="1" x14ac:dyDescent="0.3">
      <c r="A57" s="263" t="s">
        <v>408</v>
      </c>
      <c r="B57" s="513" t="s">
        <v>408</v>
      </c>
      <c r="C57" s="514"/>
      <c r="D57" s="514"/>
      <c r="E57" s="514"/>
      <c r="F57" s="514"/>
      <c r="G57" s="514"/>
      <c r="H57" s="514"/>
      <c r="I57" s="514"/>
      <c r="J57" s="514"/>
      <c r="K57" s="514"/>
      <c r="L57" s="514"/>
      <c r="M57" s="514"/>
      <c r="N57" s="514"/>
      <c r="O57" s="515"/>
      <c r="P57" s="2"/>
      <c r="Q57" s="2"/>
      <c r="R57" s="2"/>
      <c r="S57" s="2"/>
      <c r="T57" s="2"/>
      <c r="U57" s="2"/>
      <c r="V57" s="2"/>
      <c r="W57" s="2"/>
      <c r="X57" s="2"/>
      <c r="Y57" s="2"/>
      <c r="Z57" s="2"/>
      <c r="AA57" s="2"/>
      <c r="AB57" s="2"/>
      <c r="AC57" s="2"/>
      <c r="AD57" s="2"/>
      <c r="AE57" s="2"/>
      <c r="AF57" s="2"/>
      <c r="AG57" s="192"/>
    </row>
    <row r="58" spans="1:33" hidden="1" x14ac:dyDescent="0.3">
      <c r="A58" s="266" t="s">
        <v>409</v>
      </c>
      <c r="B58" s="516"/>
      <c r="C58" s="517"/>
      <c r="D58" s="516"/>
      <c r="E58" s="517"/>
      <c r="F58" s="516"/>
      <c r="G58" s="517"/>
      <c r="H58" s="516"/>
      <c r="I58" s="517"/>
      <c r="J58" s="516"/>
      <c r="K58" s="517"/>
      <c r="L58" s="518">
        <f>('Control Strategy Selection'!$D$14)-Input_AGI_R1_AADT_L3</f>
        <v>0</v>
      </c>
      <c r="M58" s="519"/>
      <c r="N58" s="518">
        <f>('Control Strategy Selection'!$D$14)-Input_AGI_R2_AADT_L3</f>
        <v>0</v>
      </c>
      <c r="O58" s="519"/>
      <c r="P58" s="2" t="s">
        <v>440</v>
      </c>
      <c r="Q58" s="2"/>
      <c r="R58" s="2"/>
      <c r="S58" s="2"/>
      <c r="T58" s="2"/>
      <c r="U58" s="2"/>
      <c r="V58" s="2"/>
      <c r="W58" s="2"/>
      <c r="X58" s="2"/>
      <c r="Y58" s="2"/>
      <c r="Z58" s="2"/>
      <c r="AA58" s="2"/>
      <c r="AB58" s="2"/>
      <c r="AC58" s="2"/>
      <c r="AD58" s="2"/>
      <c r="AE58" s="2"/>
      <c r="AF58" s="2"/>
      <c r="AG58" s="192"/>
    </row>
    <row r="59" spans="1:33" hidden="1" x14ac:dyDescent="0.3">
      <c r="A59" s="267" t="s">
        <v>406</v>
      </c>
      <c r="B59" s="516"/>
      <c r="C59" s="517"/>
      <c r="D59" s="516"/>
      <c r="E59" s="517"/>
      <c r="F59" s="516"/>
      <c r="G59" s="517"/>
      <c r="H59" s="516"/>
      <c r="I59" s="517"/>
      <c r="J59" s="516"/>
      <c r="K59" s="517"/>
      <c r="L59" s="511" t="s">
        <v>89</v>
      </c>
      <c r="M59" s="512"/>
      <c r="N59" s="511" t="s">
        <v>89</v>
      </c>
      <c r="O59" s="512"/>
      <c r="P59" s="2"/>
      <c r="Q59" s="2"/>
      <c r="R59" s="2"/>
      <c r="S59" s="2"/>
      <c r="T59" s="2"/>
      <c r="U59" s="2"/>
      <c r="V59" s="2"/>
      <c r="W59" s="2"/>
      <c r="X59" s="2"/>
      <c r="Y59" s="2"/>
      <c r="Z59" s="2"/>
      <c r="AA59" s="2"/>
      <c r="AB59" s="2"/>
      <c r="AC59" s="2"/>
      <c r="AD59" s="2"/>
      <c r="AE59" s="2"/>
      <c r="AF59" s="2"/>
      <c r="AG59" s="192"/>
    </row>
    <row r="60" spans="1:33" hidden="1" x14ac:dyDescent="0.3">
      <c r="A60" s="267" t="s">
        <v>413</v>
      </c>
      <c r="B60" s="516"/>
      <c r="C60" s="517"/>
      <c r="D60" s="516"/>
      <c r="E60" s="517"/>
      <c r="F60" s="516"/>
      <c r="G60" s="517"/>
      <c r="H60" s="516"/>
      <c r="I60" s="517"/>
      <c r="J60" s="516"/>
      <c r="K60" s="517"/>
      <c r="L60" s="507">
        <v>0</v>
      </c>
      <c r="M60" s="508"/>
      <c r="N60" s="509">
        <v>0</v>
      </c>
      <c r="O60" s="510"/>
      <c r="P60" s="2"/>
      <c r="Q60" s="2"/>
      <c r="R60" s="2"/>
      <c r="S60" s="2"/>
      <c r="T60" s="2"/>
      <c r="U60" s="2"/>
      <c r="V60" s="2"/>
      <c r="W60" s="2"/>
      <c r="X60" s="2"/>
      <c r="Y60" s="2"/>
      <c r="Z60" s="2"/>
      <c r="AA60" s="2"/>
      <c r="AB60" s="2"/>
      <c r="AC60" s="2"/>
      <c r="AD60" s="2"/>
      <c r="AE60" s="2"/>
      <c r="AF60" s="2"/>
      <c r="AG60" s="192"/>
    </row>
    <row r="61" spans="1:33" hidden="1" x14ac:dyDescent="0.3">
      <c r="A61" s="267" t="s">
        <v>405</v>
      </c>
      <c r="B61" s="516"/>
      <c r="C61" s="517"/>
      <c r="D61" s="516"/>
      <c r="E61" s="517"/>
      <c r="F61" s="516"/>
      <c r="G61" s="517"/>
      <c r="H61" s="516"/>
      <c r="I61" s="517"/>
      <c r="J61" s="516"/>
      <c r="K61" s="517"/>
      <c r="L61" s="509">
        <v>29</v>
      </c>
      <c r="M61" s="510"/>
      <c r="N61" s="507">
        <v>29</v>
      </c>
      <c r="O61" s="508"/>
      <c r="P61" s="2"/>
      <c r="Q61" s="2"/>
      <c r="R61" s="2"/>
      <c r="S61" s="2"/>
      <c r="T61" s="2"/>
      <c r="U61" s="2"/>
      <c r="V61" s="2"/>
      <c r="W61" s="2"/>
      <c r="X61" s="2"/>
      <c r="Y61" s="2"/>
      <c r="Z61" s="2"/>
      <c r="AA61" s="2"/>
      <c r="AB61" s="2"/>
      <c r="AC61" s="2"/>
      <c r="AD61" s="2"/>
      <c r="AE61" s="2"/>
      <c r="AF61" s="2"/>
      <c r="AG61" s="192"/>
    </row>
    <row r="62" spans="1:33" hidden="1" x14ac:dyDescent="0.3">
      <c r="A62" s="267" t="s">
        <v>412</v>
      </c>
      <c r="B62" s="516"/>
      <c r="C62" s="517"/>
      <c r="D62" s="516"/>
      <c r="E62" s="517"/>
      <c r="F62" s="516"/>
      <c r="G62" s="517"/>
      <c r="H62" s="516"/>
      <c r="I62" s="517"/>
      <c r="J62" s="516"/>
      <c r="K62" s="517"/>
      <c r="L62" s="509">
        <v>2</v>
      </c>
      <c r="M62" s="510"/>
      <c r="N62" s="507">
        <v>2</v>
      </c>
      <c r="O62" s="508"/>
      <c r="P62" s="2"/>
      <c r="Q62" s="2"/>
      <c r="R62" s="2"/>
      <c r="S62" s="2"/>
      <c r="T62" s="2"/>
      <c r="U62" s="2"/>
      <c r="V62" s="2"/>
      <c r="W62" s="2"/>
      <c r="X62" s="2"/>
      <c r="Y62" s="2"/>
      <c r="Z62" s="2"/>
      <c r="AA62" s="2"/>
      <c r="AB62" s="2"/>
      <c r="AC62" s="2"/>
      <c r="AD62" s="2"/>
      <c r="AE62" s="2"/>
      <c r="AF62" s="2"/>
      <c r="AG62" s="192"/>
    </row>
    <row r="63" spans="1:33" hidden="1" x14ac:dyDescent="0.3">
      <c r="A63" s="267" t="s">
        <v>414</v>
      </c>
      <c r="B63" s="516"/>
      <c r="C63" s="517"/>
      <c r="D63" s="516"/>
      <c r="E63" s="517"/>
      <c r="F63" s="516"/>
      <c r="G63" s="517"/>
      <c r="H63" s="516"/>
      <c r="I63" s="517"/>
      <c r="J63" s="516"/>
      <c r="K63" s="517"/>
      <c r="L63" s="509">
        <v>2</v>
      </c>
      <c r="M63" s="510"/>
      <c r="N63" s="507">
        <v>2</v>
      </c>
      <c r="O63" s="508"/>
      <c r="P63" s="2"/>
      <c r="Q63" s="2"/>
      <c r="R63" s="2"/>
      <c r="S63" s="2"/>
      <c r="T63" s="2"/>
      <c r="U63" s="2"/>
      <c r="V63" s="2"/>
      <c r="W63" s="2"/>
      <c r="X63" s="2"/>
      <c r="Y63" s="2"/>
      <c r="Z63" s="2"/>
      <c r="AA63" s="2"/>
      <c r="AB63" s="2"/>
      <c r="AC63" s="2"/>
      <c r="AD63" s="2"/>
      <c r="AE63" s="2"/>
      <c r="AF63" s="2"/>
      <c r="AG63" s="192"/>
    </row>
    <row r="64" spans="1:33" ht="5.4" customHeight="1" x14ac:dyDescent="0.3">
      <c r="A64" s="268"/>
      <c r="B64" s="174"/>
      <c r="C64" s="174"/>
      <c r="D64" s="174"/>
      <c r="E64" s="174"/>
      <c r="F64" s="174"/>
      <c r="G64" s="174"/>
      <c r="H64" s="174"/>
      <c r="I64" s="174"/>
      <c r="J64" s="174"/>
      <c r="K64" s="174"/>
      <c r="L64" s="174"/>
      <c r="M64" s="174"/>
      <c r="N64" s="174"/>
      <c r="O64" s="174"/>
      <c r="P64" s="2"/>
      <c r="Q64" s="2"/>
      <c r="R64" s="2"/>
      <c r="S64" s="2"/>
      <c r="T64" s="2"/>
      <c r="U64" s="2"/>
      <c r="V64" s="2"/>
      <c r="W64" s="2"/>
      <c r="X64" s="2"/>
      <c r="Y64" s="2"/>
      <c r="Z64" s="2"/>
      <c r="AA64" s="2"/>
      <c r="AB64" s="2"/>
      <c r="AC64" s="2"/>
      <c r="AD64" s="2"/>
      <c r="AE64" s="2"/>
      <c r="AF64" s="2"/>
      <c r="AG64" s="192"/>
    </row>
    <row r="65" spans="1:33" ht="5.4" customHeight="1" x14ac:dyDescent="0.3">
      <c r="A65" s="191"/>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192"/>
    </row>
    <row r="66" spans="1:33" ht="5.4" customHeight="1" x14ac:dyDescent="0.3">
      <c r="A66" s="191"/>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192"/>
    </row>
    <row r="67" spans="1:33" ht="5.4" customHeight="1" x14ac:dyDescent="0.3">
      <c r="A67" s="191"/>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192"/>
    </row>
    <row r="68" spans="1:33" ht="5.4" customHeight="1" x14ac:dyDescent="0.3">
      <c r="A68" s="191"/>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192"/>
    </row>
    <row r="69" spans="1:33" ht="5.4" customHeight="1" x14ac:dyDescent="0.3">
      <c r="A69" s="191"/>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192"/>
    </row>
    <row r="70" spans="1:33" ht="5.4" customHeight="1" x14ac:dyDescent="0.3">
      <c r="A70" s="191"/>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92"/>
    </row>
    <row r="71" spans="1:33" ht="5.4" customHeight="1" x14ac:dyDescent="0.3">
      <c r="A71" s="191"/>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192"/>
    </row>
    <row r="72" spans="1:33" ht="5.4" customHeight="1" x14ac:dyDescent="0.3">
      <c r="A72" s="191"/>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192"/>
    </row>
    <row r="73" spans="1:33" ht="5.4" customHeight="1" thickBot="1" x14ac:dyDescent="0.35">
      <c r="A73" s="194"/>
      <c r="B73" s="195"/>
      <c r="C73" s="195"/>
      <c r="D73" s="195"/>
      <c r="E73" s="195"/>
      <c r="F73" s="195"/>
      <c r="G73" s="195"/>
      <c r="H73" s="195"/>
      <c r="I73" s="195"/>
      <c r="J73" s="195"/>
      <c r="K73" s="195"/>
      <c r="L73" s="195"/>
      <c r="M73" s="195"/>
      <c r="N73" s="195"/>
      <c r="O73" s="195"/>
      <c r="P73" s="195"/>
      <c r="Q73" s="195"/>
      <c r="R73" s="195"/>
      <c r="S73" s="195"/>
      <c r="T73" s="195"/>
      <c r="U73" s="195"/>
      <c r="V73" s="195"/>
      <c r="W73" s="195"/>
      <c r="X73" s="195"/>
      <c r="Y73" s="195"/>
      <c r="Z73" s="195"/>
      <c r="AA73" s="195"/>
      <c r="AB73" s="195"/>
      <c r="AC73" s="195"/>
      <c r="AD73" s="195"/>
      <c r="AE73" s="195"/>
      <c r="AF73" s="195"/>
      <c r="AG73" s="196"/>
    </row>
    <row r="74" spans="1:33" ht="5.4" customHeight="1" x14ac:dyDescent="0.3"/>
  </sheetData>
  <sheetProtection algorithmName="SHA-512" hashValue="5oWSFGPcjSruhiwTWHipRCKIdP3FjaIVjnMzMNcSmhmX+4VlmM6GJf26VxdIwjsNEL8Q9JfiEZ2xgxjax3Tpuw==" saltValue="hfL+SLaq2xzueu3gV4NWFA==" spinCount="100000" sheet="1" objects="1" scenarios="1" formatCells="0" formatColumns="0" formatRows="0"/>
  <mergeCells count="341">
    <mergeCell ref="A4:Y4"/>
    <mergeCell ref="A1:AG1"/>
    <mergeCell ref="A2:AG2"/>
    <mergeCell ref="F27:G27"/>
    <mergeCell ref="F28:G28"/>
    <mergeCell ref="F12:G12"/>
    <mergeCell ref="F13:G13"/>
    <mergeCell ref="A15:AE15"/>
    <mergeCell ref="J14:K14"/>
    <mergeCell ref="J23:K23"/>
    <mergeCell ref="H24:I24"/>
    <mergeCell ref="J24:K24"/>
    <mergeCell ref="D24:E24"/>
    <mergeCell ref="J26:K26"/>
    <mergeCell ref="D17:E17"/>
    <mergeCell ref="D18:E18"/>
    <mergeCell ref="F25:G25"/>
    <mergeCell ref="F14:G14"/>
    <mergeCell ref="F17:G17"/>
    <mergeCell ref="F18:G18"/>
    <mergeCell ref="F20:G20"/>
    <mergeCell ref="F21:G21"/>
    <mergeCell ref="B17:C33"/>
    <mergeCell ref="J19:K19"/>
    <mergeCell ref="X9:Y9"/>
    <mergeCell ref="X10:Y10"/>
    <mergeCell ref="V8:W8"/>
    <mergeCell ref="H17:I17"/>
    <mergeCell ref="J17:K17"/>
    <mergeCell ref="L17:M33"/>
    <mergeCell ref="N17:O33"/>
    <mergeCell ref="B16:I16"/>
    <mergeCell ref="F29:G29"/>
    <mergeCell ref="F30:G30"/>
    <mergeCell ref="F31:G31"/>
    <mergeCell ref="F32:G32"/>
    <mergeCell ref="F33:G33"/>
    <mergeCell ref="D31:E31"/>
    <mergeCell ref="D32:E32"/>
    <mergeCell ref="D26:E26"/>
    <mergeCell ref="D30:E30"/>
    <mergeCell ref="D27:E27"/>
    <mergeCell ref="D29:E29"/>
    <mergeCell ref="F26:G26"/>
    <mergeCell ref="J30:K30"/>
    <mergeCell ref="L10:M10"/>
    <mergeCell ref="J27:K27"/>
    <mergeCell ref="H27:I27"/>
    <mergeCell ref="A5:A6"/>
    <mergeCell ref="H5:I6"/>
    <mergeCell ref="B7:C10"/>
    <mergeCell ref="B5:C6"/>
    <mergeCell ref="H22:I22"/>
    <mergeCell ref="D13:E13"/>
    <mergeCell ref="D14:E14"/>
    <mergeCell ref="H30:I30"/>
    <mergeCell ref="H33:I33"/>
    <mergeCell ref="H20:I20"/>
    <mergeCell ref="H21:I21"/>
    <mergeCell ref="H29:I29"/>
    <mergeCell ref="H26:I26"/>
    <mergeCell ref="B11:C14"/>
    <mergeCell ref="H11:I11"/>
    <mergeCell ref="H12:I12"/>
    <mergeCell ref="H10:I10"/>
    <mergeCell ref="F19:G19"/>
    <mergeCell ref="F22:G22"/>
    <mergeCell ref="F23:G23"/>
    <mergeCell ref="F24:G24"/>
    <mergeCell ref="H23:I23"/>
    <mergeCell ref="D19:E19"/>
    <mergeCell ref="D22:E22"/>
    <mergeCell ref="J5:K6"/>
    <mergeCell ref="L5:M6"/>
    <mergeCell ref="N5:O6"/>
    <mergeCell ref="H14:I14"/>
    <mergeCell ref="J12:K12"/>
    <mergeCell ref="D11:E11"/>
    <mergeCell ref="D5:E6"/>
    <mergeCell ref="D7:E7"/>
    <mergeCell ref="D8:E8"/>
    <mergeCell ref="D9:E9"/>
    <mergeCell ref="D10:E10"/>
    <mergeCell ref="D12:E12"/>
    <mergeCell ref="H13:I13"/>
    <mergeCell ref="J11:K11"/>
    <mergeCell ref="F5:G6"/>
    <mergeCell ref="F7:G7"/>
    <mergeCell ref="F8:G8"/>
    <mergeCell ref="F9:G9"/>
    <mergeCell ref="F10:G10"/>
    <mergeCell ref="F11:G11"/>
    <mergeCell ref="H7:I7"/>
    <mergeCell ref="H8:I8"/>
    <mergeCell ref="N10:O10"/>
    <mergeCell ref="J13:K13"/>
    <mergeCell ref="V5:W6"/>
    <mergeCell ref="P7:Q7"/>
    <mergeCell ref="P8:Q8"/>
    <mergeCell ref="AB11:AE12"/>
    <mergeCell ref="V9:W9"/>
    <mergeCell ref="V10:W10"/>
    <mergeCell ref="R9:S9"/>
    <mergeCell ref="Z7:AA7"/>
    <mergeCell ref="Z8:AA8"/>
    <mergeCell ref="Z9:AA9"/>
    <mergeCell ref="Z10:AA10"/>
    <mergeCell ref="X7:Y7"/>
    <mergeCell ref="V7:W7"/>
    <mergeCell ref="X5:Y6"/>
    <mergeCell ref="Z5:AA6"/>
    <mergeCell ref="P9:Q9"/>
    <mergeCell ref="P10:Q10"/>
    <mergeCell ref="R7:S7"/>
    <mergeCell ref="R8:S8"/>
    <mergeCell ref="AB7:AE10"/>
    <mergeCell ref="T8:U8"/>
    <mergeCell ref="T9:U9"/>
    <mergeCell ref="T10:U10"/>
    <mergeCell ref="X8:Y8"/>
    <mergeCell ref="Z17:AA33"/>
    <mergeCell ref="AB17:AE33"/>
    <mergeCell ref="D20:E20"/>
    <mergeCell ref="D21:E21"/>
    <mergeCell ref="D28:E28"/>
    <mergeCell ref="H32:I32"/>
    <mergeCell ref="J32:K32"/>
    <mergeCell ref="D25:E25"/>
    <mergeCell ref="P17:Q33"/>
    <mergeCell ref="R17:S33"/>
    <mergeCell ref="T17:U33"/>
    <mergeCell ref="V17:W33"/>
    <mergeCell ref="X17:Y33"/>
    <mergeCell ref="H18:I18"/>
    <mergeCell ref="J18:K18"/>
    <mergeCell ref="H19:I19"/>
    <mergeCell ref="D33:E33"/>
    <mergeCell ref="H31:I31"/>
    <mergeCell ref="J31:K31"/>
    <mergeCell ref="J33:K33"/>
    <mergeCell ref="J20:K20"/>
    <mergeCell ref="J21:K21"/>
    <mergeCell ref="J22:K22"/>
    <mergeCell ref="D23:E23"/>
    <mergeCell ref="P5:Q6"/>
    <mergeCell ref="R5:S6"/>
    <mergeCell ref="T5:U6"/>
    <mergeCell ref="B35:C35"/>
    <mergeCell ref="D35:E35"/>
    <mergeCell ref="F35:G35"/>
    <mergeCell ref="H35:I35"/>
    <mergeCell ref="J35:K35"/>
    <mergeCell ref="B34:O34"/>
    <mergeCell ref="L35:M35"/>
    <mergeCell ref="N35:O35"/>
    <mergeCell ref="J7:K7"/>
    <mergeCell ref="J8:K8"/>
    <mergeCell ref="J9:K9"/>
    <mergeCell ref="R10:S10"/>
    <mergeCell ref="J10:K10"/>
    <mergeCell ref="L7:M7"/>
    <mergeCell ref="L8:M8"/>
    <mergeCell ref="L9:M9"/>
    <mergeCell ref="N7:O7"/>
    <mergeCell ref="N8:O8"/>
    <mergeCell ref="N9:O9"/>
    <mergeCell ref="T7:U7"/>
    <mergeCell ref="H9:I9"/>
    <mergeCell ref="B36:O36"/>
    <mergeCell ref="B38:C38"/>
    <mergeCell ref="D38:E38"/>
    <mergeCell ref="F38:G38"/>
    <mergeCell ref="H38:I38"/>
    <mergeCell ref="J38:K38"/>
    <mergeCell ref="L37:M37"/>
    <mergeCell ref="N37:O37"/>
    <mergeCell ref="L38:M38"/>
    <mergeCell ref="N38:O38"/>
    <mergeCell ref="J29:K29"/>
    <mergeCell ref="F41:G41"/>
    <mergeCell ref="H41:I41"/>
    <mergeCell ref="J41:K41"/>
    <mergeCell ref="B42:C42"/>
    <mergeCell ref="D42:E42"/>
    <mergeCell ref="F42:G42"/>
    <mergeCell ref="H42:I42"/>
    <mergeCell ref="J42:K42"/>
    <mergeCell ref="B39:C39"/>
    <mergeCell ref="D39:E39"/>
    <mergeCell ref="F39:G39"/>
    <mergeCell ref="H39:I39"/>
    <mergeCell ref="J39:K39"/>
    <mergeCell ref="B40:C40"/>
    <mergeCell ref="D40:E40"/>
    <mergeCell ref="F40:G40"/>
    <mergeCell ref="H40:I40"/>
    <mergeCell ref="J40:K40"/>
    <mergeCell ref="B37:C37"/>
    <mergeCell ref="D37:E37"/>
    <mergeCell ref="F37:G37"/>
    <mergeCell ref="H37:I37"/>
    <mergeCell ref="J37:K37"/>
    <mergeCell ref="B45:C45"/>
    <mergeCell ref="D45:E45"/>
    <mergeCell ref="F45:G45"/>
    <mergeCell ref="H45:I45"/>
    <mergeCell ref="J45:K45"/>
    <mergeCell ref="B46:C46"/>
    <mergeCell ref="D46:E46"/>
    <mergeCell ref="F46:G46"/>
    <mergeCell ref="H46:I46"/>
    <mergeCell ref="J46:K46"/>
    <mergeCell ref="B47:C47"/>
    <mergeCell ref="D47:E47"/>
    <mergeCell ref="F47:G47"/>
    <mergeCell ref="H47:I47"/>
    <mergeCell ref="J47:K47"/>
    <mergeCell ref="B48:C48"/>
    <mergeCell ref="D48:E48"/>
    <mergeCell ref="F48:G48"/>
    <mergeCell ref="H48:I48"/>
    <mergeCell ref="J48:K48"/>
    <mergeCell ref="B49:C49"/>
    <mergeCell ref="D49:E49"/>
    <mergeCell ref="F49:G49"/>
    <mergeCell ref="H49:I49"/>
    <mergeCell ref="J49:K49"/>
    <mergeCell ref="B51:C51"/>
    <mergeCell ref="D51:E51"/>
    <mergeCell ref="F51:G51"/>
    <mergeCell ref="H51:I51"/>
    <mergeCell ref="J51:K51"/>
    <mergeCell ref="B50:O50"/>
    <mergeCell ref="B52:C52"/>
    <mergeCell ref="D52:E52"/>
    <mergeCell ref="F52:G52"/>
    <mergeCell ref="H52:I52"/>
    <mergeCell ref="J52:K52"/>
    <mergeCell ref="B53:C53"/>
    <mergeCell ref="D53:E53"/>
    <mergeCell ref="F53:G53"/>
    <mergeCell ref="H53:I53"/>
    <mergeCell ref="J53:K53"/>
    <mergeCell ref="B54:C54"/>
    <mergeCell ref="D54:E54"/>
    <mergeCell ref="F54:G54"/>
    <mergeCell ref="H54:I54"/>
    <mergeCell ref="J54:K54"/>
    <mergeCell ref="B55:C55"/>
    <mergeCell ref="D55:E55"/>
    <mergeCell ref="F55:G55"/>
    <mergeCell ref="H55:I55"/>
    <mergeCell ref="J55:K55"/>
    <mergeCell ref="B63:C63"/>
    <mergeCell ref="D63:E63"/>
    <mergeCell ref="F63:G63"/>
    <mergeCell ref="H63:I63"/>
    <mergeCell ref="J63:K63"/>
    <mergeCell ref="D62:E62"/>
    <mergeCell ref="F56:G56"/>
    <mergeCell ref="H56:I56"/>
    <mergeCell ref="J56:K56"/>
    <mergeCell ref="B57:O57"/>
    <mergeCell ref="B58:C58"/>
    <mergeCell ref="D58:E58"/>
    <mergeCell ref="F58:G58"/>
    <mergeCell ref="H58:I58"/>
    <mergeCell ref="J58:K58"/>
    <mergeCell ref="L58:M58"/>
    <mergeCell ref="N58:O58"/>
    <mergeCell ref="L63:M63"/>
    <mergeCell ref="N63:O63"/>
    <mergeCell ref="B59:C59"/>
    <mergeCell ref="D59:E59"/>
    <mergeCell ref="L62:M62"/>
    <mergeCell ref="N62:O62"/>
    <mergeCell ref="B60:C60"/>
    <mergeCell ref="L52:M52"/>
    <mergeCell ref="N52:O52"/>
    <mergeCell ref="L53:M53"/>
    <mergeCell ref="N53:O53"/>
    <mergeCell ref="L54:M54"/>
    <mergeCell ref="N54:O54"/>
    <mergeCell ref="L55:M55"/>
    <mergeCell ref="N55:O55"/>
    <mergeCell ref="L56:M56"/>
    <mergeCell ref="N56:O56"/>
    <mergeCell ref="N46:O46"/>
    <mergeCell ref="L47:M47"/>
    <mergeCell ref="N47:O47"/>
    <mergeCell ref="L48:M48"/>
    <mergeCell ref="N48:O48"/>
    <mergeCell ref="L49:M49"/>
    <mergeCell ref="N49:O49"/>
    <mergeCell ref="L51:M51"/>
    <mergeCell ref="N51:O51"/>
    <mergeCell ref="L46:M46"/>
    <mergeCell ref="D60:E60"/>
    <mergeCell ref="F60:G60"/>
    <mergeCell ref="H60:I60"/>
    <mergeCell ref="J60:K60"/>
    <mergeCell ref="B56:C56"/>
    <mergeCell ref="D56:E56"/>
    <mergeCell ref="F59:G59"/>
    <mergeCell ref="H59:I59"/>
    <mergeCell ref="J59:K59"/>
    <mergeCell ref="L61:M61"/>
    <mergeCell ref="N61:O61"/>
    <mergeCell ref="B61:C61"/>
    <mergeCell ref="D61:E61"/>
    <mergeCell ref="F61:G61"/>
    <mergeCell ref="H61:I61"/>
    <mergeCell ref="J61:K61"/>
    <mergeCell ref="F62:G62"/>
    <mergeCell ref="H62:I62"/>
    <mergeCell ref="J62:K62"/>
    <mergeCell ref="B62:C62"/>
    <mergeCell ref="L39:M39"/>
    <mergeCell ref="N39:O39"/>
    <mergeCell ref="L40:M40"/>
    <mergeCell ref="N40:O40"/>
    <mergeCell ref="L41:M41"/>
    <mergeCell ref="N41:O41"/>
    <mergeCell ref="L59:M59"/>
    <mergeCell ref="N59:O59"/>
    <mergeCell ref="L60:M60"/>
    <mergeCell ref="N60:O60"/>
    <mergeCell ref="L45:M45"/>
    <mergeCell ref="N45:O45"/>
    <mergeCell ref="B43:O43"/>
    <mergeCell ref="B44:C44"/>
    <mergeCell ref="D44:E44"/>
    <mergeCell ref="F44:G44"/>
    <mergeCell ref="H44:I44"/>
    <mergeCell ref="J44:K44"/>
    <mergeCell ref="L42:M42"/>
    <mergeCell ref="N42:O42"/>
    <mergeCell ref="L44:M44"/>
    <mergeCell ref="N44:O44"/>
    <mergeCell ref="B41:C41"/>
    <mergeCell ref="D41:E41"/>
  </mergeCells>
  <dataValidations count="13">
    <dataValidation type="whole" allowBlank="1" showInputMessage="1" showErrorMessage="1" errorTitle="Invalid Input" error="The # of approaches with U-Turn prohibited must be a value between 0 and 4." sqref="D27 F27" xr:uid="{00000000-0002-0000-0400-000000000000}">
      <formula1>0</formula1>
      <formula2>4</formula2>
    </dataValidation>
    <dataValidation type="whole" operator="greaterThan" allowBlank="1" showInputMessage="1" showErrorMessage="1" errorTitle="Invalid Input" error="The number of major street lanes must be an integer value greater than 0." sqref="D24 F24" xr:uid="{00000000-0002-0000-0400-000001000000}">
      <formula1>0</formula1>
    </dataValidation>
    <dataValidation type="whole" operator="greaterThan" allowBlank="1" showInputMessage="1" showErrorMessage="1" errorTitle="Invalid Input" error="The number of minor street lanes must be an integer greater than 0." sqref="D25 F25" xr:uid="{00000000-0002-0000-0400-000002000000}">
      <formula1>0</formula1>
    </dataValidation>
    <dataValidation type="whole" allowBlank="1" showInputMessage="1" showErrorMessage="1" errorTitle="Invalid Input" error="The number of approaches with Right-Turn channelization must be an integer between 0 and 4." sqref="D26 F26" xr:uid="{00000000-0002-0000-0400-000003000000}">
      <formula1>0</formula1>
      <formula2>4</formula2>
    </dataValidation>
    <dataValidation type="whole" operator="greaterThanOrEqual" allowBlank="1" showInputMessage="1" showErrorMessage="1" errorTitle="Invalid Input" error="The total daily pedestrian crossing volume must be a non-negative integer." sqref="D29 F29" xr:uid="{00000000-0002-0000-0400-000004000000}">
      <formula1>0</formula1>
    </dataValidation>
    <dataValidation type="whole" operator="greaterThanOrEqual" allowBlank="1" showInputMessage="1" showErrorMessage="1" errorTitle="Invalid Input" error="The maximum number of lanes crossed by pedestrians must be a non-negative integer value." sqref="D30 F30" xr:uid="{00000000-0002-0000-0400-000005000000}">
      <formula1>0</formula1>
    </dataValidation>
    <dataValidation type="whole" operator="greaterThanOrEqual" allowBlank="1" showInputMessage="1" showErrorMessage="1" errorTitle="Invalid Input" error="The number of bus stops within 1000' of the intersection must be a non-negative integer." sqref="D31 F31" xr:uid="{00000000-0002-0000-0400-000006000000}">
      <formula1>0</formula1>
    </dataValidation>
    <dataValidation type="whole" operator="greaterThanOrEqual" allowBlank="1" showInputMessage="1" showErrorMessage="1" errorTitle="Invalid Input" error="The number of alcohol sales establishments within 1000' of the intersection must be a non-negative integer." sqref="D33 F33" xr:uid="{00000000-0002-0000-0400-000007000000}">
      <formula1>0</formula1>
    </dataValidation>
    <dataValidation type="whole" operator="greaterThanOrEqual" allowBlank="1" showInputMessage="1" showErrorMessage="1" errorTitle="Invalid Input" error="The number of approaches with right-turn-on-red prohibited must be a non-negative integer." sqref="D22 F22" xr:uid="{00000000-0002-0000-0400-000008000000}">
      <formula1>0</formula1>
    </dataValidation>
    <dataValidation type="whole" operator="greaterThanOrEqual" allowBlank="1" showInputMessage="1" showErrorMessage="1" errorTitle="Invalid Input" error="The number of approaches with for each left-turn signal phasing type must be a non-negative integer." sqref="D19:D21 F19:F21" xr:uid="{00000000-0002-0000-0400-000009000000}">
      <formula1>0</formula1>
    </dataValidation>
    <dataValidation type="whole" allowBlank="1" showInputMessage="1" showErrorMessage="1" errorTitle="Invalid Input" error="The value for inscribed circle diameter must be a whole number greater than 0.  The default value is 130." promptTitle="Inscribed Circle Diameter" prompt="Please enter the Inscribed Circle Diameter in feet, the calibrated range is from 90 to 160 feet." sqref="L35:M35" xr:uid="{00000000-0002-0000-0400-00000A000000}">
      <formula1>90</formula1>
      <formula2>160</formula2>
    </dataValidation>
    <dataValidation type="decimal" showInputMessage="1" showErrorMessage="1" errorTitle="Invalid Input" error="Please enter a value between 24 ft and 36 ft for leg entry width." promptTitle="Entry Width (ft)" prompt="Please input the value in feet for entry width, the allowable range is 24 to 34 feet. The default value is 29 ft." sqref="N61:O61 N54:O54 N47:O47 N40:O40" xr:uid="{00000000-0002-0000-0400-00000B000000}">
      <formula1>24</formula1>
      <formula2>34</formula2>
    </dataValidation>
    <dataValidation type="whole" allowBlank="1" showInputMessage="1" showErrorMessage="1" errorTitle="Invalid Data Input" error="The number of approaches can only be an integer between 0 and 4." sqref="D11:E11 D12:E12 F11:G11 F12:G12 J11:K11 J12:K12 H13:I13 H14:I14" xr:uid="{55DCF61D-E369-45D0-8CC3-F6707BB85128}">
      <formula1>0</formula1>
      <formula2>4</formula2>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213" r:id="rId4" name="Button 21">
              <controlPr defaultSize="0" print="0" autoFill="0" autoPict="0" macro="[0]!ResetAGISheet">
                <anchor moveWithCells="1" sizeWithCells="1">
                  <from>
                    <xdr:col>0</xdr:col>
                    <xdr:colOff>22860</xdr:colOff>
                    <xdr:row>15</xdr:row>
                    <xdr:rowOff>30480</xdr:rowOff>
                  </from>
                  <to>
                    <xdr:col>0</xdr:col>
                    <xdr:colOff>3200400</xdr:colOff>
                    <xdr:row>15</xdr:row>
                    <xdr:rowOff>480060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400-00000C000000}">
          <x14:formula1>
            <xm:f>Notes!$Q$19:$Q$21</xm:f>
          </x14:formula1>
          <xm:sqref>D32 D23 F32 F23</xm:sqref>
        </x14:dataValidation>
        <x14:dataValidation type="list" allowBlank="1" showInputMessage="1" showErrorMessage="1" xr:uid="{00000000-0002-0000-0400-00000D000000}">
          <x14:formula1>
            <xm:f>Notes!$Q$19:$Q$20</xm:f>
          </x14:formula1>
          <xm:sqref>D18 H18 F18 J18</xm:sqref>
        </x14:dataValidation>
        <x14:dataValidation type="list" allowBlank="1" showInputMessage="1" showErrorMessage="1" errorTitle="Invalid Input" error="Please select an option from the drop down list." xr:uid="{00000000-0002-0000-0400-00000E000000}">
          <x14:formula1>
            <xm:f>Labels!$A$53:$A$58</xm:f>
          </x14:formula1>
          <xm:sqref>D28:G28</xm:sqref>
        </x14:dataValidation>
        <x14:dataValidation type="list" showInputMessage="1" showErrorMessage="1" errorTitle="Invalid Input" error="Please select a value of Yes or No from the drop-down menu." promptTitle="Leg has Right-Turn Bypass Lane" prompt="Select whether the roundabout leg has a right-turn bypass lane." xr:uid="{00000000-0002-0000-0400-00000F000000}">
          <x14:formula1>
            <xm:f>Notes!$Q$19:$Q$20</xm:f>
          </x14:formula1>
          <xm:sqref>L38:O38 L45:O45 L52:O52 L59:O59</xm:sqref>
        </x14:dataValidation>
        <x14:dataValidation type="list" showInputMessage="1" showErrorMessage="1" errorTitle="Invalid Input" error="Please select a value from the drop-down list." promptTitle="Access Point Frequency" prompt="Enter the number of access points occuring on the leg within 250 feet of the yield line." xr:uid="{00000000-0002-0000-0400-000010000000}">
          <x14:formula1>
            <xm:f>Notes!$S$29:$S$37</xm:f>
          </x14:formula1>
          <xm:sqref>L39:M39 L46:M46 L53:M53 L60:M60</xm:sqref>
        </x14:dataValidation>
        <x14:dataValidation type="list" showInputMessage="1" showErrorMessage="1" errorTitle="Invalid Input" error="Please select a value from the drop-down menu." promptTitle="# Circulating Lanes" prompt="Select the number of circulating lanes for the roundabout leg (1 or 2). The default value is 2." xr:uid="{00000000-0002-0000-0400-000011000000}">
          <x14:formula1>
            <xm:f>Notes!$S$30:$S$31</xm:f>
          </x14:formula1>
          <xm:sqref>N42:O42 N49:O49 N56:O56 N63:O63</xm:sqref>
        </x14:dataValidation>
        <x14:dataValidation type="list" showInputMessage="1" showErrorMessage="1" errorTitle="Invalid Input" error="Please select a value from the drop-down menu." promptTitle="# of Entering Lanes" prompt="Select the number of entering lanes for the roundabout leg (between 1 and 2).  The default value is 2." xr:uid="{00000000-0002-0000-0400-000012000000}">
          <x14:formula1>
            <xm:f>Notes!$S$30:$S$31</xm:f>
          </x14:formula1>
          <xm:sqref>N62:O62 N55:O55 N48:O48 N41:O41</xm:sqref>
        </x14:dataValidation>
        <x14:dataValidation type="decimal" allowBlank="1" showInputMessage="1" showErrorMessage="1" xr:uid="{00000000-0002-0000-0400-000013000000}">
          <x14:formula1>
            <xm:f>0</xm:f>
          </x14:formula1>
          <x14:formula2>
            <xm:f>'Control Strategy Selection'!$D$14</xm:f>
          </x14:formula2>
          <xm:sqref>L51:O51</xm:sqref>
        </x14:dataValidation>
        <x14:dataValidation type="decimal" allowBlank="1" showInputMessage="1" showErrorMessage="1" xr:uid="{00000000-0002-0000-0400-000014000000}">
          <x14:formula1>
            <xm:f>0</xm:f>
          </x14:formula1>
          <x14:formula2>
            <xm:f>'Control Strategy Selection'!$D$13</xm:f>
          </x14:formula2>
          <xm:sqref>L37:O37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4" tint="-0.249977111117893"/>
  </sheetPr>
  <dimension ref="A1:O75"/>
  <sheetViews>
    <sheetView showGridLines="0" showRowColHeaders="0" zoomScaleNormal="100" workbookViewId="0">
      <pane xSplit="1" ySplit="5" topLeftCell="B6" activePane="bottomRight" state="frozen"/>
      <selection pane="topRight" activeCell="B1" sqref="B1"/>
      <selection pane="bottomLeft" activeCell="A6" sqref="A6"/>
      <selection pane="bottomRight" activeCell="D22" sqref="D22"/>
    </sheetView>
  </sheetViews>
  <sheetFormatPr defaultColWidth="8.88671875" defaultRowHeight="14.4" x14ac:dyDescent="0.3"/>
  <cols>
    <col min="1" max="1" width="45.88671875" style="108" customWidth="1"/>
    <col min="2" max="2" width="19" style="108" customWidth="1"/>
    <col min="3" max="5" width="18.33203125" style="108" customWidth="1"/>
    <col min="6" max="6" width="19.33203125" style="108" customWidth="1"/>
    <col min="7" max="7" width="18.6640625" style="108" customWidth="1"/>
    <col min="8" max="9" width="8.88671875" style="108" hidden="1" customWidth="1"/>
    <col min="10" max="11" width="16" style="108" customWidth="1"/>
    <col min="12" max="13" width="16.77734375" style="108" customWidth="1"/>
    <col min="14" max="16384" width="8.88671875" style="108"/>
  </cols>
  <sheetData>
    <row r="1" spans="1:13" ht="23.4" x14ac:dyDescent="0.45">
      <c r="A1" s="647" t="s">
        <v>436</v>
      </c>
      <c r="B1" s="648"/>
      <c r="C1" s="648"/>
      <c r="D1" s="648"/>
      <c r="E1" s="648"/>
      <c r="F1" s="648"/>
      <c r="G1" s="648"/>
      <c r="H1" s="648"/>
      <c r="I1" s="648"/>
      <c r="J1" s="648"/>
      <c r="K1" s="648"/>
      <c r="L1" s="648"/>
      <c r="M1" s="648"/>
    </row>
    <row r="2" spans="1:13" ht="15" customHeight="1" x14ac:dyDescent="0.3">
      <c r="A2" s="649" t="s">
        <v>108</v>
      </c>
      <c r="B2" s="650"/>
      <c r="C2" s="650"/>
      <c r="D2" s="650"/>
      <c r="E2" s="650"/>
      <c r="F2" s="650"/>
      <c r="G2" s="650"/>
      <c r="H2" s="650"/>
      <c r="I2" s="650"/>
      <c r="J2" s="650"/>
      <c r="K2" s="650"/>
      <c r="L2" s="650"/>
      <c r="M2" s="650"/>
    </row>
    <row r="3" spans="1:13" x14ac:dyDescent="0.3">
      <c r="A3" s="283" t="s">
        <v>104</v>
      </c>
      <c r="B3" s="643" t="s">
        <v>43</v>
      </c>
      <c r="C3" s="643"/>
      <c r="D3" s="643" t="s">
        <v>293</v>
      </c>
      <c r="E3" s="643"/>
      <c r="F3" s="643" t="s">
        <v>112</v>
      </c>
      <c r="G3" s="643"/>
      <c r="H3" s="660" t="s">
        <v>431</v>
      </c>
      <c r="I3" s="661"/>
      <c r="J3" s="643" t="s">
        <v>410</v>
      </c>
      <c r="K3" s="643"/>
      <c r="L3" s="643" t="s">
        <v>411</v>
      </c>
      <c r="M3" s="643"/>
    </row>
    <row r="4" spans="1:13" ht="14.4" customHeight="1" x14ac:dyDescent="0.3">
      <c r="A4" s="283"/>
      <c r="B4" s="653" t="s">
        <v>292</v>
      </c>
      <c r="C4" s="654"/>
      <c r="D4" s="653" t="s">
        <v>292</v>
      </c>
      <c r="E4" s="654"/>
      <c r="F4" s="653" t="s">
        <v>292</v>
      </c>
      <c r="G4" s="654"/>
      <c r="H4" s="662"/>
      <c r="I4" s="663"/>
      <c r="J4" s="653" t="s">
        <v>292</v>
      </c>
      <c r="K4" s="654"/>
      <c r="L4" s="653" t="s">
        <v>292</v>
      </c>
      <c r="M4" s="654"/>
    </row>
    <row r="5" spans="1:13" x14ac:dyDescent="0.3">
      <c r="A5" s="109" t="s">
        <v>107</v>
      </c>
      <c r="B5" s="110" t="str">
        <f>'Control Strategy Selection'!$D$47</f>
        <v>NB Ramp Terminal</v>
      </c>
      <c r="C5" s="110" t="str">
        <f>'Control Strategy Selection'!$E$47</f>
        <v>SB Ramp Terminal</v>
      </c>
      <c r="D5" s="110" t="str">
        <f>'Control Strategy Selection'!$D$47</f>
        <v>NB Ramp Terminal</v>
      </c>
      <c r="E5" s="110" t="str">
        <f>'Control Strategy Selection'!$E$47</f>
        <v>SB Ramp Terminal</v>
      </c>
      <c r="F5" s="110" t="str">
        <f>'Control Strategy Selection'!$D$47</f>
        <v>NB Ramp Terminal</v>
      </c>
      <c r="G5" s="110" t="str">
        <f>'Control Strategy Selection'!$E$47</f>
        <v>SB Ramp Terminal</v>
      </c>
      <c r="H5" s="651" t="s">
        <v>430</v>
      </c>
      <c r="I5" s="652"/>
      <c r="J5" s="110" t="str">
        <f>'Control Strategy Selection'!$D$47</f>
        <v>NB Ramp Terminal</v>
      </c>
      <c r="K5" s="110" t="str">
        <f>'Control Strategy Selection'!$E$47</f>
        <v>SB Ramp Terminal</v>
      </c>
      <c r="L5" s="110" t="str">
        <f>'Control Strategy Selection'!$D$47</f>
        <v>NB Ramp Terminal</v>
      </c>
      <c r="M5" s="110" t="str">
        <f>'Control Strategy Selection'!$E$47</f>
        <v>SB Ramp Terminal</v>
      </c>
    </row>
    <row r="6" spans="1:13" hidden="1" x14ac:dyDescent="0.3">
      <c r="A6" s="111" t="str">
        <f>'Control Strategy Selection'!$A$47:$C$47 &amp; " " &amp; 'Control Strategy Selection'!A48:C48</f>
        <v>Opening Year AADT Crossroad - Inside Leg</v>
      </c>
      <c r="B6" s="128">
        <f>Input_RTI_OAADTIn1</f>
        <v>0</v>
      </c>
      <c r="C6" s="128">
        <f>Input_RTI_OAADTIn2</f>
        <v>0</v>
      </c>
      <c r="D6" s="128">
        <f>Input_RTI_OAADTIn1</f>
        <v>0</v>
      </c>
      <c r="E6" s="128">
        <f>Input_RTI_OAADTIn2</f>
        <v>0</v>
      </c>
      <c r="F6" s="128">
        <f>Input_RTI_OAADTIn1</f>
        <v>0</v>
      </c>
      <c r="G6" s="128">
        <f>Input_RTI_OAADTIn2</f>
        <v>0</v>
      </c>
      <c r="H6" s="626">
        <f>Input_RTI_OAADTIn1 + Input_RTI_OAADTIn2</f>
        <v>0</v>
      </c>
      <c r="I6" s="626"/>
      <c r="J6" s="148"/>
      <c r="K6" s="148"/>
      <c r="L6" s="148"/>
      <c r="M6" s="148"/>
    </row>
    <row r="7" spans="1:13" hidden="1" x14ac:dyDescent="0.3">
      <c r="A7" s="111" t="str">
        <f>'Control Strategy Selection'!$A$47:$C$47 &amp; " " &amp; 'Control Strategy Selection'!A49:C49</f>
        <v>Opening Year AADT Crossroad - Outside Leg</v>
      </c>
      <c r="B7" s="128">
        <f>Input_RTI_OAADTOut1</f>
        <v>0</v>
      </c>
      <c r="C7" s="128">
        <f>Input_RTI_OAADTOut2</f>
        <v>0</v>
      </c>
      <c r="D7" s="128">
        <f>Input_RTI_OAADTOut1</f>
        <v>0</v>
      </c>
      <c r="E7" s="128">
        <f>Input_RTI_OAADTOut2</f>
        <v>0</v>
      </c>
      <c r="F7" s="128">
        <f>Input_RTI_OAADTOut1</f>
        <v>0</v>
      </c>
      <c r="G7" s="128">
        <f>Input_RTI_OAADTOut2</f>
        <v>0</v>
      </c>
      <c r="H7" s="626">
        <f>Input_RTI_OAADTOut1 + Input_RTI_OAADTOut2</f>
        <v>0</v>
      </c>
      <c r="I7" s="626"/>
      <c r="J7" s="148"/>
      <c r="K7" s="148"/>
      <c r="L7" s="148"/>
      <c r="M7" s="148"/>
    </row>
    <row r="8" spans="1:13" hidden="1" x14ac:dyDescent="0.3">
      <c r="A8" s="111" t="str">
        <f>'Control Strategy Selection'!$A$47:$C$47 &amp; " " &amp; 'Control Strategy Selection'!A50:C50</f>
        <v>Opening Year AADT Exit Ramp</v>
      </c>
      <c r="B8" s="128">
        <f>Input_RTI_OAADTEx1</f>
        <v>0</v>
      </c>
      <c r="C8" s="128">
        <f>Input_RTI_OAADTEx2</f>
        <v>0</v>
      </c>
      <c r="D8" s="128">
        <f>Input_RTI_OAADTEx1</f>
        <v>0</v>
      </c>
      <c r="E8" s="128">
        <f>Input_RTI_OAADTEx2</f>
        <v>0</v>
      </c>
      <c r="F8" s="128">
        <f>Input_RTI_OAADTEx1</f>
        <v>0</v>
      </c>
      <c r="G8" s="128">
        <f>Input_RTI_OAADTEx2</f>
        <v>0</v>
      </c>
      <c r="H8" s="626">
        <f>Input_RTI_OAADTEx1 + Input_RTI_OAADTEx2</f>
        <v>0</v>
      </c>
      <c r="I8" s="626"/>
      <c r="J8" s="148"/>
      <c r="K8" s="148"/>
      <c r="L8" s="148"/>
      <c r="M8" s="148"/>
    </row>
    <row r="9" spans="1:13" hidden="1" x14ac:dyDescent="0.3">
      <c r="A9" s="111" t="str">
        <f>'Control Strategy Selection'!$A$47:$C$47 &amp; " " &amp; 'Control Strategy Selection'!A51:C51</f>
        <v>Opening Year AADT Entrance Ramp</v>
      </c>
      <c r="B9" s="128">
        <f>Input_RTI_OAADTEn1</f>
        <v>0</v>
      </c>
      <c r="C9" s="128">
        <f>Input_RTI_OAADTEn2</f>
        <v>0</v>
      </c>
      <c r="D9" s="128">
        <f>Input_RTI_OAADTEn1</f>
        <v>0</v>
      </c>
      <c r="E9" s="128">
        <f>Input_RTI_OAADTEn2</f>
        <v>0</v>
      </c>
      <c r="F9" s="128">
        <f>Input_RTI_OAADTEn1</f>
        <v>0</v>
      </c>
      <c r="G9" s="128">
        <f>Input_RTI_OAADTEn2</f>
        <v>0</v>
      </c>
      <c r="H9" s="626">
        <f>Input_RTI_OAADTEn1 + Input_RTI_OAADTEn2</f>
        <v>0</v>
      </c>
      <c r="I9" s="626"/>
      <c r="J9" s="148"/>
      <c r="K9" s="148"/>
      <c r="L9" s="148"/>
      <c r="M9" s="148"/>
    </row>
    <row r="10" spans="1:13" hidden="1" x14ac:dyDescent="0.3">
      <c r="A10" s="111" t="str">
        <f>'Control Strategy Selection'!$A$52:$C$52 &amp; " " &amp; 'Control Strategy Selection'!A53:C53</f>
        <v>Design Year AADT Crossroad - Inside Leg</v>
      </c>
      <c r="B10" s="128">
        <f>Input_RTI_DAADTIn1</f>
        <v>0</v>
      </c>
      <c r="C10" s="128">
        <f>Input_RTI_DAADTIn2</f>
        <v>0</v>
      </c>
      <c r="D10" s="128">
        <f>Input_RTI_DAADTIn1</f>
        <v>0</v>
      </c>
      <c r="E10" s="128">
        <f>Input_RTI_DAADTIn2</f>
        <v>0</v>
      </c>
      <c r="F10" s="128">
        <f>Input_RTI_DAADTIn1</f>
        <v>0</v>
      </c>
      <c r="G10" s="128">
        <f>Input_RTI_DAADTIn2</f>
        <v>0</v>
      </c>
      <c r="H10" s="626">
        <f>Input_RTI_DAADTIn1 + Input_RTI_DAADTIn2</f>
        <v>0</v>
      </c>
      <c r="I10" s="626"/>
      <c r="J10" s="162"/>
      <c r="K10" s="148"/>
      <c r="L10" s="148"/>
      <c r="M10" s="148"/>
    </row>
    <row r="11" spans="1:13" hidden="1" x14ac:dyDescent="0.3">
      <c r="A11" s="111" t="str">
        <f>'Control Strategy Selection'!$A$52:$C$52 &amp; " " &amp; 'Control Strategy Selection'!A54:C54</f>
        <v>Design Year AADT Crossroad - Outside Leg</v>
      </c>
      <c r="B11" s="128">
        <f>Input_RTI_DAADTOut1</f>
        <v>0</v>
      </c>
      <c r="C11" s="128">
        <f>Input_RTI_DAADTOut2</f>
        <v>0</v>
      </c>
      <c r="D11" s="128">
        <f>Input_RTI_DAADTOut1</f>
        <v>0</v>
      </c>
      <c r="E11" s="128">
        <f>Input_RTI_DAADTOut2</f>
        <v>0</v>
      </c>
      <c r="F11" s="128">
        <f>Input_RTI_DAADTOut1</f>
        <v>0</v>
      </c>
      <c r="G11" s="128">
        <f>Input_RTI_DAADTOut2</f>
        <v>0</v>
      </c>
      <c r="H11" s="626">
        <f>Input_RTI_DAADTOut1 + Input_RTI_DAADTOut2</f>
        <v>0</v>
      </c>
      <c r="I11" s="626"/>
      <c r="J11" s="162"/>
      <c r="K11" s="148"/>
      <c r="L11" s="148"/>
      <c r="M11" s="148"/>
    </row>
    <row r="12" spans="1:13" hidden="1" x14ac:dyDescent="0.3">
      <c r="A12" s="111" t="str">
        <f>'Control Strategy Selection'!$A$52:$C$52 &amp; " " &amp; 'Control Strategy Selection'!A55:C55</f>
        <v>Design Year AADT Exit Ramp</v>
      </c>
      <c r="B12" s="128">
        <f>Input_RTI_DAADTEx1</f>
        <v>0</v>
      </c>
      <c r="C12" s="128">
        <f>Input_RTI_DAADTEx2</f>
        <v>0</v>
      </c>
      <c r="D12" s="128">
        <f>Input_RTI_DAADTEx1</f>
        <v>0</v>
      </c>
      <c r="E12" s="128">
        <f>Input_RTI_DAADTEx2</f>
        <v>0</v>
      </c>
      <c r="F12" s="128">
        <f>Input_RTI_DAADTEx1</f>
        <v>0</v>
      </c>
      <c r="G12" s="128">
        <f>Input_RTI_DAADTEx2</f>
        <v>0</v>
      </c>
      <c r="H12" s="626">
        <f>Input_RTI_DAADTEx1 + Input_RTI_DAADTEx2</f>
        <v>0</v>
      </c>
      <c r="I12" s="626"/>
      <c r="J12" s="162"/>
      <c r="K12" s="148"/>
      <c r="L12" s="148"/>
      <c r="M12" s="148"/>
    </row>
    <row r="13" spans="1:13" hidden="1" x14ac:dyDescent="0.3">
      <c r="A13" s="111" t="str">
        <f>'Control Strategy Selection'!$A$52:$C$52 &amp; " " &amp; 'Control Strategy Selection'!A56:C56</f>
        <v>Design Year AADT Entrance Ramp</v>
      </c>
      <c r="B13" s="128">
        <f>Input_RTI_DAADTEn1</f>
        <v>0</v>
      </c>
      <c r="C13" s="128">
        <f>Input_RTI_DAADTEn2</f>
        <v>0</v>
      </c>
      <c r="D13" s="128">
        <f>Input_RTI_DAADTEn1</f>
        <v>0</v>
      </c>
      <c r="E13" s="128">
        <f>Input_RTI_DAADTEn2</f>
        <v>0</v>
      </c>
      <c r="F13" s="128">
        <f>Input_RTI_DAADTEn1</f>
        <v>0</v>
      </c>
      <c r="G13" s="128">
        <f>Input_RTI_DAADTEn2</f>
        <v>0</v>
      </c>
      <c r="H13" s="626">
        <f>Input_RTI_DAADTEn1 + Input_RTI_DAADTEn2</f>
        <v>0</v>
      </c>
      <c r="I13" s="626"/>
      <c r="J13" s="162"/>
      <c r="K13" s="148"/>
      <c r="L13" s="148"/>
      <c r="M13" s="148"/>
    </row>
    <row r="14" spans="1:13" hidden="1" x14ac:dyDescent="0.3">
      <c r="A14" s="109" t="s">
        <v>130</v>
      </c>
      <c r="B14" s="658" t="str">
        <f>Input_RTI_AreaType</f>
        <v>Rural</v>
      </c>
      <c r="C14" s="659"/>
      <c r="D14" s="658" t="str">
        <f>Input_RTI_AreaType</f>
        <v>Rural</v>
      </c>
      <c r="E14" s="659"/>
      <c r="F14" s="658" t="str">
        <f>Input_RTI_AreaType</f>
        <v>Rural</v>
      </c>
      <c r="G14" s="659"/>
      <c r="H14" s="627" t="s">
        <v>141</v>
      </c>
      <c r="I14" s="627"/>
      <c r="J14" s="162"/>
      <c r="K14" s="148"/>
      <c r="L14" s="148"/>
      <c r="M14" s="148"/>
    </row>
    <row r="15" spans="1:13" ht="18" customHeight="1" x14ac:dyDescent="0.3">
      <c r="A15" s="112" t="s">
        <v>366</v>
      </c>
      <c r="B15" s="284">
        <v>4</v>
      </c>
      <c r="C15" s="284">
        <v>4</v>
      </c>
      <c r="D15" s="284">
        <v>4</v>
      </c>
      <c r="E15" s="284">
        <v>4</v>
      </c>
      <c r="F15" s="284">
        <v>4</v>
      </c>
      <c r="G15" s="284">
        <v>4</v>
      </c>
      <c r="H15" s="627" t="s">
        <v>141</v>
      </c>
      <c r="I15" s="627"/>
      <c r="J15" s="125" t="s">
        <v>141</v>
      </c>
      <c r="K15" s="125" t="s">
        <v>141</v>
      </c>
      <c r="L15" s="125" t="s">
        <v>141</v>
      </c>
      <c r="M15" s="125" t="s">
        <v>141</v>
      </c>
    </row>
    <row r="16" spans="1:13" ht="27.6" x14ac:dyDescent="0.3">
      <c r="A16" s="113" t="s">
        <v>360</v>
      </c>
      <c r="B16" s="285">
        <v>2</v>
      </c>
      <c r="C16" s="285">
        <v>2</v>
      </c>
      <c r="D16" s="285">
        <v>2</v>
      </c>
      <c r="E16" s="285">
        <v>2</v>
      </c>
      <c r="F16" s="125" t="s">
        <v>141</v>
      </c>
      <c r="G16" s="125" t="s">
        <v>141</v>
      </c>
      <c r="H16" s="627" t="s">
        <v>141</v>
      </c>
      <c r="I16" s="627"/>
      <c r="J16" s="125" t="s">
        <v>141</v>
      </c>
      <c r="K16" s="125" t="s">
        <v>141</v>
      </c>
      <c r="L16" s="125" t="s">
        <v>141</v>
      </c>
      <c r="M16" s="125" t="s">
        <v>141</v>
      </c>
    </row>
    <row r="17" spans="1:15" ht="27.6" x14ac:dyDescent="0.3">
      <c r="A17" s="113" t="s">
        <v>365</v>
      </c>
      <c r="B17" s="129">
        <f>Input_D4TS_NLxst1-Input_D4TS_NLTOIn1</f>
        <v>2</v>
      </c>
      <c r="C17" s="129">
        <f>Input_D4TS_NLxst2-Input_D4TS_NLTOIn2</f>
        <v>2</v>
      </c>
      <c r="D17" s="129">
        <f>Input_D4TSA_NLxst1-Input_D4TSA_NLTOIn1</f>
        <v>2</v>
      </c>
      <c r="E17" s="129">
        <f>Input_D4TSA_NLxst2-Input_D4TSA_NLTOIn2</f>
        <v>2</v>
      </c>
      <c r="F17" s="125" t="s">
        <v>141</v>
      </c>
      <c r="G17" s="125" t="s">
        <v>141</v>
      </c>
      <c r="H17" s="627" t="s">
        <v>141</v>
      </c>
      <c r="I17" s="627"/>
      <c r="J17" s="125" t="s">
        <v>141</v>
      </c>
      <c r="K17" s="125" t="s">
        <v>141</v>
      </c>
      <c r="L17" s="125" t="s">
        <v>141</v>
      </c>
      <c r="M17" s="125" t="s">
        <v>141</v>
      </c>
    </row>
    <row r="18" spans="1:15" ht="29.4" customHeight="1" x14ac:dyDescent="0.3">
      <c r="A18" s="113" t="s">
        <v>429</v>
      </c>
      <c r="B18" s="125" t="s">
        <v>141</v>
      </c>
      <c r="C18" s="125" t="s">
        <v>141</v>
      </c>
      <c r="D18" s="125" t="s">
        <v>141</v>
      </c>
      <c r="E18" s="125" t="s">
        <v>141</v>
      </c>
      <c r="F18" s="125" t="s">
        <v>141</v>
      </c>
      <c r="G18" s="125" t="s">
        <v>141</v>
      </c>
      <c r="H18" s="639">
        <v>0</v>
      </c>
      <c r="I18" s="639"/>
      <c r="J18" s="125" t="s">
        <v>141</v>
      </c>
      <c r="K18" s="125" t="s">
        <v>141</v>
      </c>
      <c r="L18" s="125" t="s">
        <v>141</v>
      </c>
      <c r="M18" s="125" t="s">
        <v>141</v>
      </c>
    </row>
    <row r="19" spans="1:15" ht="14.4" customHeight="1" x14ac:dyDescent="0.3">
      <c r="A19" s="114"/>
      <c r="B19" s="115"/>
      <c r="C19" s="115"/>
      <c r="D19" s="115"/>
      <c r="E19" s="115"/>
      <c r="F19" s="115"/>
      <c r="G19" s="116"/>
      <c r="H19" s="641"/>
      <c r="I19" s="642"/>
      <c r="J19" s="149"/>
      <c r="K19" s="150"/>
      <c r="L19" s="150"/>
      <c r="M19" s="151"/>
    </row>
    <row r="20" spans="1:15" ht="14.4" customHeight="1" x14ac:dyDescent="0.3">
      <c r="A20" s="114"/>
      <c r="B20" s="115"/>
      <c r="C20" s="115"/>
      <c r="D20" s="115"/>
      <c r="E20" s="115"/>
      <c r="F20" s="115"/>
      <c r="G20" s="116"/>
      <c r="H20" s="624"/>
      <c r="I20" s="625"/>
      <c r="J20" s="149"/>
      <c r="K20" s="150"/>
      <c r="L20" s="150"/>
      <c r="M20" s="151"/>
    </row>
    <row r="21" spans="1:15" ht="14.4" customHeight="1" x14ac:dyDescent="0.3">
      <c r="A21" s="114"/>
      <c r="B21" s="115"/>
      <c r="C21" s="115"/>
      <c r="D21" s="115"/>
      <c r="E21" s="115"/>
      <c r="F21" s="115"/>
      <c r="G21" s="116"/>
      <c r="H21" s="624"/>
      <c r="I21" s="625"/>
      <c r="J21" s="149"/>
      <c r="K21" s="150"/>
      <c r="L21" s="150"/>
      <c r="M21" s="151"/>
    </row>
    <row r="22" spans="1:15" ht="14.4" customHeight="1" x14ac:dyDescent="0.3">
      <c r="A22" s="114"/>
      <c r="B22" s="115"/>
      <c r="C22" s="115"/>
      <c r="D22" s="115"/>
      <c r="E22" s="115"/>
      <c r="F22" s="115"/>
      <c r="G22" s="116"/>
      <c r="H22" s="624"/>
      <c r="I22" s="625"/>
      <c r="J22" s="149"/>
      <c r="K22" s="150"/>
      <c r="L22" s="150"/>
      <c r="M22" s="151"/>
    </row>
    <row r="23" spans="1:15" ht="14.4" customHeight="1" x14ac:dyDescent="0.3">
      <c r="A23" s="117"/>
      <c r="B23" s="118"/>
      <c r="C23" s="118"/>
      <c r="D23" s="118"/>
      <c r="E23" s="118"/>
      <c r="F23" s="118"/>
      <c r="G23" s="119"/>
      <c r="H23" s="628"/>
      <c r="I23" s="629"/>
      <c r="J23" s="152"/>
      <c r="K23" s="153"/>
      <c r="L23" s="153"/>
      <c r="M23" s="154"/>
    </row>
    <row r="24" spans="1:15" ht="34.200000000000003" customHeight="1" x14ac:dyDescent="0.3">
      <c r="A24" s="286" t="s">
        <v>314</v>
      </c>
      <c r="B24" s="655" t="s">
        <v>269</v>
      </c>
      <c r="C24" s="656"/>
      <c r="D24" s="656"/>
      <c r="E24" s="656"/>
      <c r="F24" s="656"/>
      <c r="G24" s="657"/>
      <c r="H24" s="287"/>
      <c r="I24" s="288"/>
      <c r="J24" s="289"/>
      <c r="K24" s="289"/>
      <c r="L24" s="289"/>
      <c r="M24" s="288"/>
      <c r="N24" s="64"/>
      <c r="O24" s="64"/>
    </row>
    <row r="25" spans="1:15" ht="18" customHeight="1" x14ac:dyDescent="0.3">
      <c r="A25" s="113" t="s">
        <v>381</v>
      </c>
      <c r="B25" s="125" t="s">
        <v>141</v>
      </c>
      <c r="C25" s="125" t="s">
        <v>141</v>
      </c>
      <c r="D25" s="125" t="s">
        <v>141</v>
      </c>
      <c r="E25" s="125" t="s">
        <v>141</v>
      </c>
      <c r="F25" s="290">
        <v>0</v>
      </c>
      <c r="G25" s="290">
        <v>0</v>
      </c>
      <c r="H25" s="630" t="s">
        <v>141</v>
      </c>
      <c r="I25" s="631"/>
      <c r="J25" s="627" t="s">
        <v>141</v>
      </c>
      <c r="K25" s="627" t="s">
        <v>141</v>
      </c>
      <c r="L25" s="627" t="s">
        <v>141</v>
      </c>
      <c r="M25" s="627" t="s">
        <v>141</v>
      </c>
    </row>
    <row r="26" spans="1:15" ht="18" customHeight="1" x14ac:dyDescent="0.3">
      <c r="A26" s="113" t="s">
        <v>313</v>
      </c>
      <c r="B26" s="290" t="s">
        <v>89</v>
      </c>
      <c r="C26" s="290" t="s">
        <v>89</v>
      </c>
      <c r="D26" s="290" t="s">
        <v>89</v>
      </c>
      <c r="E26" s="290" t="s">
        <v>89</v>
      </c>
      <c r="F26" s="125" t="s">
        <v>141</v>
      </c>
      <c r="G26" s="125" t="s">
        <v>141</v>
      </c>
      <c r="H26" s="632"/>
      <c r="I26" s="633"/>
      <c r="J26" s="627"/>
      <c r="K26" s="627"/>
      <c r="L26" s="627"/>
      <c r="M26" s="627"/>
    </row>
    <row r="27" spans="1:15" ht="32.4" customHeight="1" x14ac:dyDescent="0.3">
      <c r="A27" s="113" t="s">
        <v>212</v>
      </c>
      <c r="B27" s="290" t="s">
        <v>384</v>
      </c>
      <c r="C27" s="290" t="s">
        <v>384</v>
      </c>
      <c r="D27" s="290" t="s">
        <v>384</v>
      </c>
      <c r="E27" s="290" t="s">
        <v>384</v>
      </c>
      <c r="F27" s="290" t="s">
        <v>384</v>
      </c>
      <c r="G27" s="290" t="s">
        <v>384</v>
      </c>
      <c r="H27" s="632"/>
      <c r="I27" s="633"/>
      <c r="J27" s="627"/>
      <c r="K27" s="627"/>
      <c r="L27" s="627"/>
      <c r="M27" s="627"/>
    </row>
    <row r="28" spans="1:15" ht="18" customHeight="1" x14ac:dyDescent="0.3">
      <c r="A28" s="120" t="s">
        <v>262</v>
      </c>
      <c r="B28" s="290">
        <v>1</v>
      </c>
      <c r="C28" s="290">
        <v>1</v>
      </c>
      <c r="D28" s="290">
        <v>1</v>
      </c>
      <c r="E28" s="290">
        <v>1</v>
      </c>
      <c r="F28" s="290">
        <v>1</v>
      </c>
      <c r="G28" s="290">
        <v>1</v>
      </c>
      <c r="H28" s="632"/>
      <c r="I28" s="633"/>
      <c r="J28" s="627"/>
      <c r="K28" s="627"/>
      <c r="L28" s="627"/>
      <c r="M28" s="627"/>
    </row>
    <row r="29" spans="1:15" ht="33" customHeight="1" x14ac:dyDescent="0.3">
      <c r="A29" s="120" t="s">
        <v>364</v>
      </c>
      <c r="B29" s="291">
        <v>0</v>
      </c>
      <c r="C29" s="291">
        <v>0</v>
      </c>
      <c r="D29" s="291">
        <v>0</v>
      </c>
      <c r="E29" s="291">
        <v>0</v>
      </c>
      <c r="F29" s="125" t="s">
        <v>141</v>
      </c>
      <c r="G29" s="125" t="s">
        <v>141</v>
      </c>
      <c r="H29" s="632"/>
      <c r="I29" s="633"/>
      <c r="J29" s="627"/>
      <c r="K29" s="627"/>
      <c r="L29" s="627"/>
      <c r="M29" s="627"/>
    </row>
    <row r="30" spans="1:15" ht="18" customHeight="1" x14ac:dyDescent="0.3">
      <c r="A30" s="109" t="s">
        <v>385</v>
      </c>
      <c r="B30" s="292">
        <v>0.1</v>
      </c>
      <c r="C30" s="292">
        <v>0.1</v>
      </c>
      <c r="D30" s="292">
        <v>0.1</v>
      </c>
      <c r="E30" s="292">
        <v>0.1</v>
      </c>
      <c r="F30" s="292">
        <v>0.1</v>
      </c>
      <c r="G30" s="292">
        <v>0.1</v>
      </c>
      <c r="H30" s="632"/>
      <c r="I30" s="633"/>
      <c r="J30" s="627"/>
      <c r="K30" s="627"/>
      <c r="L30" s="627"/>
      <c r="M30" s="627"/>
    </row>
    <row r="31" spans="1:15" ht="27.6" x14ac:dyDescent="0.3">
      <c r="A31" s="121" t="s">
        <v>315</v>
      </c>
      <c r="B31" s="292">
        <v>0.15</v>
      </c>
      <c r="C31" s="292">
        <v>0.15</v>
      </c>
      <c r="D31" s="292">
        <v>0.15</v>
      </c>
      <c r="E31" s="292">
        <v>0.15</v>
      </c>
      <c r="F31" s="292">
        <v>0.15</v>
      </c>
      <c r="G31" s="292">
        <v>0.15</v>
      </c>
      <c r="H31" s="632"/>
      <c r="I31" s="633"/>
      <c r="J31" s="627"/>
      <c r="K31" s="627"/>
      <c r="L31" s="627"/>
      <c r="M31" s="627"/>
    </row>
    <row r="32" spans="1:15" ht="28.95" customHeight="1" x14ac:dyDescent="0.3">
      <c r="A32" s="113" t="s">
        <v>376</v>
      </c>
      <c r="B32" s="126">
        <v>1</v>
      </c>
      <c r="C32" s="126">
        <v>1</v>
      </c>
      <c r="D32" s="126">
        <v>1</v>
      </c>
      <c r="E32" s="126">
        <v>1</v>
      </c>
      <c r="F32" s="126">
        <v>1</v>
      </c>
      <c r="G32" s="126">
        <v>1</v>
      </c>
      <c r="H32" s="632"/>
      <c r="I32" s="633"/>
      <c r="J32" s="627"/>
      <c r="K32" s="627"/>
      <c r="L32" s="627"/>
      <c r="M32" s="627"/>
    </row>
    <row r="33" spans="1:13" ht="18" customHeight="1" x14ac:dyDescent="0.3">
      <c r="A33" s="121" t="s">
        <v>299</v>
      </c>
      <c r="B33" s="292">
        <v>12</v>
      </c>
      <c r="C33" s="292">
        <v>12</v>
      </c>
      <c r="D33" s="292">
        <v>12</v>
      </c>
      <c r="E33" s="292">
        <v>12</v>
      </c>
      <c r="F33" s="292">
        <v>12</v>
      </c>
      <c r="G33" s="292">
        <v>12</v>
      </c>
      <c r="H33" s="632"/>
      <c r="I33" s="633"/>
      <c r="J33" s="627"/>
      <c r="K33" s="627"/>
      <c r="L33" s="627"/>
      <c r="M33" s="627"/>
    </row>
    <row r="34" spans="1:13" ht="18" hidden="1" customHeight="1" x14ac:dyDescent="0.3">
      <c r="A34" s="122" t="s">
        <v>312</v>
      </c>
      <c r="B34" s="293" t="s">
        <v>141</v>
      </c>
      <c r="C34" s="293" t="s">
        <v>141</v>
      </c>
      <c r="D34" s="293" t="s">
        <v>141</v>
      </c>
      <c r="E34" s="293" t="s">
        <v>141</v>
      </c>
      <c r="F34" s="293" t="s">
        <v>141</v>
      </c>
      <c r="G34" s="293" t="s">
        <v>141</v>
      </c>
      <c r="H34" s="632"/>
      <c r="I34" s="633"/>
      <c r="J34" s="627"/>
      <c r="K34" s="627"/>
      <c r="L34" s="627"/>
      <c r="M34" s="627"/>
    </row>
    <row r="35" spans="1:13" ht="18" customHeight="1" x14ac:dyDescent="0.3">
      <c r="A35" s="123" t="s">
        <v>363</v>
      </c>
      <c r="B35" s="290" t="s">
        <v>167</v>
      </c>
      <c r="C35" s="290" t="s">
        <v>167</v>
      </c>
      <c r="D35" s="290" t="s">
        <v>167</v>
      </c>
      <c r="E35" s="290" t="s">
        <v>167</v>
      </c>
      <c r="F35" s="290" t="s">
        <v>167</v>
      </c>
      <c r="G35" s="290" t="s">
        <v>167</v>
      </c>
      <c r="H35" s="632"/>
      <c r="I35" s="633"/>
      <c r="J35" s="627"/>
      <c r="K35" s="627"/>
      <c r="L35" s="627"/>
      <c r="M35" s="627"/>
    </row>
    <row r="36" spans="1:13" ht="18" customHeight="1" x14ac:dyDescent="0.3">
      <c r="A36" s="121" t="s">
        <v>362</v>
      </c>
      <c r="B36" s="290" t="s">
        <v>167</v>
      </c>
      <c r="C36" s="290" t="s">
        <v>167</v>
      </c>
      <c r="D36" s="290" t="s">
        <v>167</v>
      </c>
      <c r="E36" s="290" t="s">
        <v>167</v>
      </c>
      <c r="F36" s="290" t="s">
        <v>167</v>
      </c>
      <c r="G36" s="290" t="s">
        <v>167</v>
      </c>
      <c r="H36" s="632"/>
      <c r="I36" s="633"/>
      <c r="J36" s="627"/>
      <c r="K36" s="627"/>
      <c r="L36" s="627"/>
      <c r="M36" s="627"/>
    </row>
    <row r="37" spans="1:13" ht="18" customHeight="1" x14ac:dyDescent="0.3">
      <c r="A37" s="121" t="s">
        <v>368</v>
      </c>
      <c r="B37" s="292">
        <v>12</v>
      </c>
      <c r="C37" s="292">
        <v>12</v>
      </c>
      <c r="D37" s="292">
        <v>12</v>
      </c>
      <c r="E37" s="292">
        <v>12</v>
      </c>
      <c r="F37" s="292">
        <v>12</v>
      </c>
      <c r="G37" s="292">
        <v>12</v>
      </c>
      <c r="H37" s="632"/>
      <c r="I37" s="633"/>
      <c r="J37" s="627"/>
      <c r="K37" s="627"/>
      <c r="L37" s="627"/>
      <c r="M37" s="627"/>
    </row>
    <row r="38" spans="1:13" ht="18" hidden="1" customHeight="1" x14ac:dyDescent="0.3">
      <c r="A38" s="122" t="s">
        <v>398</v>
      </c>
      <c r="B38" s="125" t="s">
        <v>141</v>
      </c>
      <c r="C38" s="125" t="s">
        <v>141</v>
      </c>
      <c r="D38" s="125" t="s">
        <v>141</v>
      </c>
      <c r="E38" s="125" t="s">
        <v>141</v>
      </c>
      <c r="F38" s="125" t="s">
        <v>141</v>
      </c>
      <c r="G38" s="125" t="s">
        <v>141</v>
      </c>
      <c r="H38" s="632"/>
      <c r="I38" s="633"/>
      <c r="J38" s="627"/>
      <c r="K38" s="627"/>
      <c r="L38" s="627"/>
      <c r="M38" s="627"/>
    </row>
    <row r="39" spans="1:13" ht="18" hidden="1" customHeight="1" x14ac:dyDescent="0.3">
      <c r="A39" s="122" t="s">
        <v>369</v>
      </c>
      <c r="B39" s="127">
        <v>0</v>
      </c>
      <c r="C39" s="127">
        <v>0</v>
      </c>
      <c r="D39" s="127">
        <v>0</v>
      </c>
      <c r="E39" s="127">
        <v>0</v>
      </c>
      <c r="F39" s="127">
        <v>0</v>
      </c>
      <c r="G39" s="127">
        <v>0</v>
      </c>
      <c r="H39" s="632"/>
      <c r="I39" s="633"/>
      <c r="J39" s="627"/>
      <c r="K39" s="627"/>
      <c r="L39" s="627"/>
      <c r="M39" s="627"/>
    </row>
    <row r="40" spans="1:13" ht="27.6" customHeight="1" x14ac:dyDescent="0.3">
      <c r="A40" s="120" t="s">
        <v>378</v>
      </c>
      <c r="B40" s="290" t="s">
        <v>89</v>
      </c>
      <c r="C40" s="290" t="s">
        <v>89</v>
      </c>
      <c r="D40" s="290" t="s">
        <v>89</v>
      </c>
      <c r="E40" s="290" t="s">
        <v>89</v>
      </c>
      <c r="F40" s="125" t="s">
        <v>141</v>
      </c>
      <c r="G40" s="125" t="s">
        <v>141</v>
      </c>
      <c r="H40" s="632"/>
      <c r="I40" s="633"/>
      <c r="J40" s="627"/>
      <c r="K40" s="627"/>
      <c r="L40" s="627"/>
      <c r="M40" s="627"/>
    </row>
    <row r="41" spans="1:13" ht="27.6" hidden="1" customHeight="1" x14ac:dyDescent="0.3">
      <c r="A41" s="124" t="s">
        <v>379</v>
      </c>
      <c r="B41" s="293" t="s">
        <v>141</v>
      </c>
      <c r="C41" s="293" t="s">
        <v>141</v>
      </c>
      <c r="D41" s="293" t="s">
        <v>141</v>
      </c>
      <c r="E41" s="293" t="s">
        <v>141</v>
      </c>
      <c r="F41" s="125" t="s">
        <v>141</v>
      </c>
      <c r="G41" s="125" t="s">
        <v>141</v>
      </c>
      <c r="H41" s="632"/>
      <c r="I41" s="633"/>
      <c r="J41" s="627"/>
      <c r="K41" s="627"/>
      <c r="L41" s="627"/>
      <c r="M41" s="627"/>
    </row>
    <row r="42" spans="1:13" ht="18" hidden="1" customHeight="1" x14ac:dyDescent="0.3">
      <c r="A42" s="122" t="s">
        <v>370</v>
      </c>
      <c r="B42" s="293" t="s">
        <v>141</v>
      </c>
      <c r="C42" s="293" t="s">
        <v>141</v>
      </c>
      <c r="D42" s="293" t="s">
        <v>141</v>
      </c>
      <c r="E42" s="293" t="s">
        <v>141</v>
      </c>
      <c r="F42" s="125" t="s">
        <v>141</v>
      </c>
      <c r="G42" s="125" t="s">
        <v>141</v>
      </c>
      <c r="H42" s="632"/>
      <c r="I42" s="633"/>
      <c r="J42" s="627"/>
      <c r="K42" s="627"/>
      <c r="L42" s="627"/>
      <c r="M42" s="627"/>
    </row>
    <row r="43" spans="1:13" ht="18" customHeight="1" x14ac:dyDescent="0.3">
      <c r="A43" s="121" t="s">
        <v>371</v>
      </c>
      <c r="B43" s="290" t="s">
        <v>89</v>
      </c>
      <c r="C43" s="290" t="s">
        <v>89</v>
      </c>
      <c r="D43" s="290" t="s">
        <v>89</v>
      </c>
      <c r="E43" s="290" t="s">
        <v>89</v>
      </c>
      <c r="F43" s="125" t="s">
        <v>141</v>
      </c>
      <c r="G43" s="125" t="s">
        <v>141</v>
      </c>
      <c r="H43" s="632"/>
      <c r="I43" s="633"/>
      <c r="J43" s="627"/>
      <c r="K43" s="627"/>
      <c r="L43" s="627"/>
      <c r="M43" s="627"/>
    </row>
    <row r="44" spans="1:13" ht="18" customHeight="1" x14ac:dyDescent="0.3">
      <c r="A44" s="121" t="s">
        <v>321</v>
      </c>
      <c r="B44" s="290" t="s">
        <v>89</v>
      </c>
      <c r="C44" s="290" t="s">
        <v>89</v>
      </c>
      <c r="D44" s="290" t="s">
        <v>89</v>
      </c>
      <c r="E44" s="290" t="s">
        <v>89</v>
      </c>
      <c r="F44" s="125" t="s">
        <v>141</v>
      </c>
      <c r="G44" s="125" t="s">
        <v>141</v>
      </c>
      <c r="H44" s="632"/>
      <c r="I44" s="633"/>
      <c r="J44" s="627"/>
      <c r="K44" s="627"/>
      <c r="L44" s="627"/>
      <c r="M44" s="627"/>
    </row>
    <row r="45" spans="1:13" ht="30" hidden="1" customHeight="1" x14ac:dyDescent="0.3">
      <c r="B45" s="165"/>
      <c r="C45" s="166"/>
      <c r="D45" s="166"/>
      <c r="E45" s="166"/>
      <c r="F45" s="166"/>
      <c r="G45" s="167"/>
      <c r="H45" s="165"/>
      <c r="I45" s="168"/>
      <c r="J45" s="636" t="s">
        <v>269</v>
      </c>
      <c r="K45" s="637"/>
      <c r="L45" s="637"/>
      <c r="M45" s="638"/>
    </row>
    <row r="46" spans="1:13" hidden="1" x14ac:dyDescent="0.3">
      <c r="A46" s="26" t="s">
        <v>402</v>
      </c>
      <c r="B46" s="644" t="s">
        <v>141</v>
      </c>
      <c r="C46" s="644" t="s">
        <v>141</v>
      </c>
      <c r="D46" s="644" t="s">
        <v>141</v>
      </c>
      <c r="E46" s="644" t="s">
        <v>141</v>
      </c>
      <c r="F46" s="644" t="s">
        <v>141</v>
      </c>
      <c r="G46" s="644" t="s">
        <v>141</v>
      </c>
      <c r="H46" s="630" t="s">
        <v>141</v>
      </c>
      <c r="I46" s="631"/>
      <c r="J46" s="158">
        <v>130</v>
      </c>
      <c r="K46" s="158">
        <v>130</v>
      </c>
      <c r="L46" s="160">
        <v>125</v>
      </c>
      <c r="M46" s="160">
        <v>125</v>
      </c>
    </row>
    <row r="47" spans="1:13" hidden="1" x14ac:dyDescent="0.3">
      <c r="A47" s="26" t="s">
        <v>424</v>
      </c>
      <c r="B47" s="645"/>
      <c r="C47" s="645"/>
      <c r="D47" s="645"/>
      <c r="E47" s="645"/>
      <c r="F47" s="645"/>
      <c r="G47" s="645"/>
      <c r="H47" s="632"/>
      <c r="I47" s="633"/>
      <c r="J47" s="161" t="s">
        <v>167</v>
      </c>
      <c r="K47" s="161" t="s">
        <v>167</v>
      </c>
      <c r="L47" s="161" t="s">
        <v>167</v>
      </c>
      <c r="M47" s="161" t="s">
        <v>167</v>
      </c>
    </row>
    <row r="48" spans="1:13" hidden="1" x14ac:dyDescent="0.3">
      <c r="A48" s="26" t="s">
        <v>403</v>
      </c>
      <c r="B48" s="645"/>
      <c r="C48" s="645"/>
      <c r="D48" s="645"/>
      <c r="E48" s="645"/>
      <c r="F48" s="645"/>
      <c r="G48" s="645"/>
      <c r="H48" s="632"/>
      <c r="I48" s="633"/>
      <c r="J48" s="640" t="s">
        <v>403</v>
      </c>
      <c r="K48" s="640"/>
      <c r="L48" s="640"/>
      <c r="M48" s="640"/>
    </row>
    <row r="49" spans="1:13" hidden="1" x14ac:dyDescent="0.3">
      <c r="A49" s="140" t="s">
        <v>409</v>
      </c>
      <c r="B49" s="645"/>
      <c r="C49" s="645"/>
      <c r="D49" s="645"/>
      <c r="E49" s="645"/>
      <c r="F49" s="645"/>
      <c r="G49" s="645"/>
      <c r="H49" s="632"/>
      <c r="I49" s="633"/>
      <c r="J49" s="155">
        <f>SUM('Control Strategy Selection'!$D$48:$D$49)*0.5</f>
        <v>0</v>
      </c>
      <c r="K49" s="155">
        <f>SUM('Control Strategy Selection'!$E$48:$E$49)*0.5</f>
        <v>0</v>
      </c>
      <c r="L49" s="155">
        <f>SUM('Control Strategy Selection'!$D$48:$D$49)*0.5</f>
        <v>0</v>
      </c>
      <c r="M49" s="155">
        <f>SUM('Control Strategy Selection'!$E$48:$E$49)*0.5</f>
        <v>0</v>
      </c>
    </row>
    <row r="50" spans="1:13" hidden="1" x14ac:dyDescent="0.3">
      <c r="A50" s="141" t="s">
        <v>406</v>
      </c>
      <c r="B50" s="645"/>
      <c r="C50" s="645"/>
      <c r="D50" s="645"/>
      <c r="E50" s="645"/>
      <c r="F50" s="645"/>
      <c r="G50" s="645"/>
      <c r="H50" s="632"/>
      <c r="I50" s="633"/>
      <c r="J50" s="156" t="s">
        <v>89</v>
      </c>
      <c r="K50" s="157" t="s">
        <v>89</v>
      </c>
      <c r="L50" s="156" t="s">
        <v>89</v>
      </c>
      <c r="M50" s="136" t="s">
        <v>89</v>
      </c>
    </row>
    <row r="51" spans="1:13" hidden="1" x14ac:dyDescent="0.3">
      <c r="A51" s="141" t="s">
        <v>413</v>
      </c>
      <c r="B51" s="645"/>
      <c r="C51" s="645"/>
      <c r="D51" s="645"/>
      <c r="E51" s="645"/>
      <c r="F51" s="645"/>
      <c r="G51" s="645"/>
      <c r="H51" s="632"/>
      <c r="I51" s="633"/>
      <c r="J51" s="158">
        <v>0</v>
      </c>
      <c r="K51" s="158">
        <v>0</v>
      </c>
      <c r="L51" s="159">
        <v>0</v>
      </c>
      <c r="M51" s="138">
        <v>0</v>
      </c>
    </row>
    <row r="52" spans="1:13" hidden="1" x14ac:dyDescent="0.3">
      <c r="A52" s="141" t="s">
        <v>405</v>
      </c>
      <c r="B52" s="645"/>
      <c r="C52" s="645"/>
      <c r="D52" s="645"/>
      <c r="E52" s="645"/>
      <c r="F52" s="645"/>
      <c r="G52" s="645"/>
      <c r="H52" s="632"/>
      <c r="I52" s="633"/>
      <c r="J52" s="159">
        <v>29</v>
      </c>
      <c r="K52" s="159">
        <v>29</v>
      </c>
      <c r="L52" s="158">
        <v>29</v>
      </c>
      <c r="M52" s="137">
        <v>29</v>
      </c>
    </row>
    <row r="53" spans="1:13" hidden="1" x14ac:dyDescent="0.3">
      <c r="A53" s="141" t="s">
        <v>412</v>
      </c>
      <c r="B53" s="645"/>
      <c r="C53" s="645"/>
      <c r="D53" s="645"/>
      <c r="E53" s="645"/>
      <c r="F53" s="645"/>
      <c r="G53" s="645"/>
      <c r="H53" s="632"/>
      <c r="I53" s="633"/>
      <c r="J53" s="159">
        <v>2</v>
      </c>
      <c r="K53" s="159">
        <v>2</v>
      </c>
      <c r="L53" s="158">
        <v>2</v>
      </c>
      <c r="M53" s="137">
        <v>2</v>
      </c>
    </row>
    <row r="54" spans="1:13" hidden="1" x14ac:dyDescent="0.3">
      <c r="A54" s="141" t="s">
        <v>414</v>
      </c>
      <c r="B54" s="645"/>
      <c r="C54" s="645"/>
      <c r="D54" s="645"/>
      <c r="E54" s="645"/>
      <c r="F54" s="645"/>
      <c r="G54" s="645"/>
      <c r="H54" s="632"/>
      <c r="I54" s="633"/>
      <c r="J54" s="159">
        <v>2</v>
      </c>
      <c r="K54" s="159">
        <v>2</v>
      </c>
      <c r="L54" s="158">
        <v>2</v>
      </c>
      <c r="M54" s="137">
        <v>2</v>
      </c>
    </row>
    <row r="55" spans="1:13" hidden="1" x14ac:dyDescent="0.3">
      <c r="A55" s="26" t="s">
        <v>404</v>
      </c>
      <c r="B55" s="645"/>
      <c r="C55" s="645"/>
      <c r="D55" s="645"/>
      <c r="E55" s="645"/>
      <c r="F55" s="645"/>
      <c r="G55" s="645"/>
      <c r="H55" s="632"/>
      <c r="I55" s="633"/>
      <c r="J55" s="640" t="s">
        <v>425</v>
      </c>
      <c r="K55" s="640"/>
      <c r="L55" s="640"/>
      <c r="M55" s="640"/>
    </row>
    <row r="56" spans="1:13" hidden="1" x14ac:dyDescent="0.3">
      <c r="A56" s="140" t="s">
        <v>409</v>
      </c>
      <c r="B56" s="645"/>
      <c r="C56" s="645"/>
      <c r="D56" s="645"/>
      <c r="E56" s="645"/>
      <c r="F56" s="645"/>
      <c r="G56" s="645"/>
      <c r="H56" s="632"/>
      <c r="I56" s="633"/>
      <c r="J56" s="155">
        <f>SUM('Control Strategy Selection'!$D$48:$D$49)-J49</f>
        <v>0</v>
      </c>
      <c r="K56" s="155">
        <f>SUM('Control Strategy Selection'!$E$48:$E$49)-K49</f>
        <v>0</v>
      </c>
      <c r="L56" s="155">
        <f>SUM('Control Strategy Selection'!$D$48:$D$49)*0.5</f>
        <v>0</v>
      </c>
      <c r="M56" s="155">
        <f>SUM('Control Strategy Selection'!$E$48:$E$49)*0.5</f>
        <v>0</v>
      </c>
    </row>
    <row r="57" spans="1:13" hidden="1" x14ac:dyDescent="0.3">
      <c r="A57" s="141" t="s">
        <v>406</v>
      </c>
      <c r="B57" s="645"/>
      <c r="C57" s="645"/>
      <c r="D57" s="645"/>
      <c r="E57" s="645"/>
      <c r="F57" s="645"/>
      <c r="G57" s="645"/>
      <c r="H57" s="632"/>
      <c r="I57" s="633"/>
      <c r="J57" s="156" t="s">
        <v>89</v>
      </c>
      <c r="K57" s="157" t="s">
        <v>89</v>
      </c>
      <c r="L57" s="156" t="s">
        <v>89</v>
      </c>
      <c r="M57" s="136" t="s">
        <v>89</v>
      </c>
    </row>
    <row r="58" spans="1:13" hidden="1" x14ac:dyDescent="0.3">
      <c r="A58" s="141" t="s">
        <v>413</v>
      </c>
      <c r="B58" s="645"/>
      <c r="C58" s="645"/>
      <c r="D58" s="645"/>
      <c r="E58" s="645"/>
      <c r="F58" s="645"/>
      <c r="G58" s="645"/>
      <c r="H58" s="632"/>
      <c r="I58" s="633"/>
      <c r="J58" s="158">
        <v>0</v>
      </c>
      <c r="K58" s="158">
        <v>0</v>
      </c>
      <c r="L58" s="159">
        <v>0</v>
      </c>
      <c r="M58" s="138">
        <v>0</v>
      </c>
    </row>
    <row r="59" spans="1:13" hidden="1" x14ac:dyDescent="0.3">
      <c r="A59" s="141" t="s">
        <v>405</v>
      </c>
      <c r="B59" s="645"/>
      <c r="C59" s="645"/>
      <c r="D59" s="645"/>
      <c r="E59" s="645"/>
      <c r="F59" s="645"/>
      <c r="G59" s="645"/>
      <c r="H59" s="632"/>
      <c r="I59" s="633"/>
      <c r="J59" s="159">
        <v>29</v>
      </c>
      <c r="K59" s="159">
        <v>29</v>
      </c>
      <c r="L59" s="158">
        <v>29</v>
      </c>
      <c r="M59" s="137">
        <v>29</v>
      </c>
    </row>
    <row r="60" spans="1:13" hidden="1" x14ac:dyDescent="0.3">
      <c r="A60" s="141" t="s">
        <v>412</v>
      </c>
      <c r="B60" s="645"/>
      <c r="C60" s="645"/>
      <c r="D60" s="645"/>
      <c r="E60" s="645"/>
      <c r="F60" s="645"/>
      <c r="G60" s="645"/>
      <c r="H60" s="632"/>
      <c r="I60" s="633"/>
      <c r="J60" s="159">
        <v>2</v>
      </c>
      <c r="K60" s="159">
        <v>2</v>
      </c>
      <c r="L60" s="158">
        <v>2</v>
      </c>
      <c r="M60" s="137">
        <v>2</v>
      </c>
    </row>
    <row r="61" spans="1:13" hidden="1" x14ac:dyDescent="0.3">
      <c r="A61" s="141" t="s">
        <v>414</v>
      </c>
      <c r="B61" s="645"/>
      <c r="C61" s="645"/>
      <c r="D61" s="645"/>
      <c r="E61" s="645"/>
      <c r="F61" s="645"/>
      <c r="G61" s="645"/>
      <c r="H61" s="632"/>
      <c r="I61" s="633"/>
      <c r="J61" s="159">
        <v>2</v>
      </c>
      <c r="K61" s="159">
        <v>2</v>
      </c>
      <c r="L61" s="158">
        <v>2</v>
      </c>
      <c r="M61" s="137">
        <v>2</v>
      </c>
    </row>
    <row r="62" spans="1:13" hidden="1" x14ac:dyDescent="0.3">
      <c r="A62" s="26" t="s">
        <v>407</v>
      </c>
      <c r="B62" s="645"/>
      <c r="C62" s="645"/>
      <c r="D62" s="645"/>
      <c r="E62" s="645"/>
      <c r="F62" s="645"/>
      <c r="G62" s="645"/>
      <c r="H62" s="632"/>
      <c r="I62" s="633"/>
      <c r="J62" s="640" t="s">
        <v>407</v>
      </c>
      <c r="K62" s="640"/>
      <c r="L62" s="640"/>
      <c r="M62" s="640"/>
    </row>
    <row r="63" spans="1:13" hidden="1" x14ac:dyDescent="0.3">
      <c r="A63" s="140" t="s">
        <v>409</v>
      </c>
      <c r="B63" s="645"/>
      <c r="C63" s="645"/>
      <c r="D63" s="645"/>
      <c r="E63" s="645"/>
      <c r="F63" s="645"/>
      <c r="G63" s="645"/>
      <c r="H63" s="632"/>
      <c r="I63" s="633"/>
      <c r="J63" s="155">
        <f>('Control Strategy Selection'!$D$51)</f>
        <v>0</v>
      </c>
      <c r="K63" s="155">
        <f>('Control Strategy Selection'!$E$51)</f>
        <v>0</v>
      </c>
      <c r="L63" s="155">
        <f>('Control Strategy Selection'!$D$51)</f>
        <v>0</v>
      </c>
      <c r="M63" s="155">
        <f>('Control Strategy Selection'!$E$51)</f>
        <v>0</v>
      </c>
    </row>
    <row r="64" spans="1:13" hidden="1" x14ac:dyDescent="0.3">
      <c r="A64" s="141" t="s">
        <v>406</v>
      </c>
      <c r="B64" s="645"/>
      <c r="C64" s="645"/>
      <c r="D64" s="645"/>
      <c r="E64" s="645"/>
      <c r="F64" s="645"/>
      <c r="G64" s="645"/>
      <c r="H64" s="632"/>
      <c r="I64" s="633"/>
      <c r="J64" s="156" t="s">
        <v>89</v>
      </c>
      <c r="K64" s="157" t="s">
        <v>89</v>
      </c>
      <c r="L64" s="156" t="s">
        <v>89</v>
      </c>
      <c r="M64" s="136" t="s">
        <v>89</v>
      </c>
    </row>
    <row r="65" spans="1:13" hidden="1" x14ac:dyDescent="0.3">
      <c r="A65" s="141" t="s">
        <v>413</v>
      </c>
      <c r="B65" s="645"/>
      <c r="C65" s="645"/>
      <c r="D65" s="645"/>
      <c r="E65" s="645"/>
      <c r="F65" s="645"/>
      <c r="G65" s="645"/>
      <c r="H65" s="632"/>
      <c r="I65" s="633"/>
      <c r="J65" s="158">
        <v>0</v>
      </c>
      <c r="K65" s="158">
        <v>0</v>
      </c>
      <c r="L65" s="159">
        <v>0</v>
      </c>
      <c r="M65" s="138">
        <v>0</v>
      </c>
    </row>
    <row r="66" spans="1:13" hidden="1" x14ac:dyDescent="0.3">
      <c r="A66" s="141" t="s">
        <v>405</v>
      </c>
      <c r="B66" s="645"/>
      <c r="C66" s="645"/>
      <c r="D66" s="645"/>
      <c r="E66" s="645"/>
      <c r="F66" s="645"/>
      <c r="G66" s="645"/>
      <c r="H66" s="632"/>
      <c r="I66" s="633"/>
      <c r="J66" s="159">
        <v>29</v>
      </c>
      <c r="K66" s="159">
        <v>29</v>
      </c>
      <c r="L66" s="158">
        <v>29</v>
      </c>
      <c r="M66" s="137">
        <v>29</v>
      </c>
    </row>
    <row r="67" spans="1:13" hidden="1" x14ac:dyDescent="0.3">
      <c r="A67" s="141" t="s">
        <v>412</v>
      </c>
      <c r="B67" s="645"/>
      <c r="C67" s="645"/>
      <c r="D67" s="645"/>
      <c r="E67" s="645"/>
      <c r="F67" s="645"/>
      <c r="G67" s="645"/>
      <c r="H67" s="632"/>
      <c r="I67" s="633"/>
      <c r="J67" s="159">
        <v>2</v>
      </c>
      <c r="K67" s="159">
        <v>2</v>
      </c>
      <c r="L67" s="158">
        <v>2</v>
      </c>
      <c r="M67" s="137">
        <v>2</v>
      </c>
    </row>
    <row r="68" spans="1:13" hidden="1" x14ac:dyDescent="0.3">
      <c r="A68" s="141" t="s">
        <v>414</v>
      </c>
      <c r="B68" s="646"/>
      <c r="C68" s="646"/>
      <c r="D68" s="646"/>
      <c r="E68" s="646"/>
      <c r="F68" s="646"/>
      <c r="G68" s="646"/>
      <c r="H68" s="634"/>
      <c r="I68" s="635"/>
      <c r="J68" s="159">
        <v>2</v>
      </c>
      <c r="K68" s="159">
        <v>2</v>
      </c>
      <c r="L68" s="158">
        <v>2</v>
      </c>
      <c r="M68" s="137">
        <v>2</v>
      </c>
    </row>
    <row r="69" spans="1:13" x14ac:dyDescent="0.3">
      <c r="A69" s="145"/>
    </row>
    <row r="70" spans="1:13" x14ac:dyDescent="0.3">
      <c r="A70" s="146"/>
    </row>
    <row r="71" spans="1:13" x14ac:dyDescent="0.3">
      <c r="A71" s="147"/>
    </row>
    <row r="72" spans="1:13" x14ac:dyDescent="0.3">
      <c r="A72" s="147"/>
    </row>
    <row r="73" spans="1:13" x14ac:dyDescent="0.3">
      <c r="A73" s="147"/>
    </row>
    <row r="74" spans="1:13" x14ac:dyDescent="0.3">
      <c r="A74" s="147"/>
    </row>
    <row r="75" spans="1:13" x14ac:dyDescent="0.3">
      <c r="A75" s="147"/>
    </row>
  </sheetData>
  <sheetProtection algorithmName="SHA-512" hashValue="vNHquc2nhxx6cukMVc9cdrJbGv0ptbBta57CgyODLaXv5uEyFpdrZFhXtQYI+hPAtX7n3DGYUpTCH4V6+72G7Q==" saltValue="Jd3SAoTWMWrt8XzhG+1Gow==" spinCount="100000" sheet="1" objects="1" scenarios="1" formatCells="0" formatColumns="0" formatRows="0"/>
  <mergeCells count="52">
    <mergeCell ref="F14:G14"/>
    <mergeCell ref="F3:G3"/>
    <mergeCell ref="H7:I7"/>
    <mergeCell ref="H8:I8"/>
    <mergeCell ref="H9:I9"/>
    <mergeCell ref="H10:I10"/>
    <mergeCell ref="H3:I4"/>
    <mergeCell ref="F46:F68"/>
    <mergeCell ref="G46:G68"/>
    <mergeCell ref="A1:M1"/>
    <mergeCell ref="A2:M2"/>
    <mergeCell ref="H5:I5"/>
    <mergeCell ref="H6:I6"/>
    <mergeCell ref="J3:K3"/>
    <mergeCell ref="J4:K4"/>
    <mergeCell ref="L3:M3"/>
    <mergeCell ref="L4:M4"/>
    <mergeCell ref="B24:G24"/>
    <mergeCell ref="B4:C4"/>
    <mergeCell ref="D4:E4"/>
    <mergeCell ref="F4:G4"/>
    <mergeCell ref="B14:C14"/>
    <mergeCell ref="D14:E14"/>
    <mergeCell ref="B3:C3"/>
    <mergeCell ref="D3:E3"/>
    <mergeCell ref="B46:B68"/>
    <mergeCell ref="C46:C68"/>
    <mergeCell ref="D46:D68"/>
    <mergeCell ref="E46:E68"/>
    <mergeCell ref="H23:I23"/>
    <mergeCell ref="H25:I44"/>
    <mergeCell ref="H46:I68"/>
    <mergeCell ref="J45:M45"/>
    <mergeCell ref="H16:I16"/>
    <mergeCell ref="H17:I17"/>
    <mergeCell ref="H18:I18"/>
    <mergeCell ref="J55:M55"/>
    <mergeCell ref="J62:M62"/>
    <mergeCell ref="J48:M48"/>
    <mergeCell ref="J25:J44"/>
    <mergeCell ref="K25:K44"/>
    <mergeCell ref="L25:L44"/>
    <mergeCell ref="M25:M44"/>
    <mergeCell ref="H19:I19"/>
    <mergeCell ref="H20:I20"/>
    <mergeCell ref="H21:I21"/>
    <mergeCell ref="H22:I22"/>
    <mergeCell ref="H11:I11"/>
    <mergeCell ref="H12:I12"/>
    <mergeCell ref="H13:I13"/>
    <mergeCell ref="H14:I14"/>
    <mergeCell ref="H15:I15"/>
  </mergeCells>
  <conditionalFormatting sqref="B17:E17">
    <cfRule type="expression" dxfId="24" priority="3">
      <formula>B17=0</formula>
    </cfRule>
  </conditionalFormatting>
  <conditionalFormatting sqref="B37:G37">
    <cfRule type="expression" dxfId="23" priority="2">
      <formula>B$36="No"</formula>
    </cfRule>
  </conditionalFormatting>
  <conditionalFormatting sqref="B32:G32">
    <cfRule type="expression" dxfId="22" priority="1">
      <formula>B$31&gt;0.05</formula>
    </cfRule>
  </conditionalFormatting>
  <dataValidations count="11">
    <dataValidation type="whole" operator="greaterThanOrEqual" allowBlank="1" showInputMessage="1" showErrorMessage="1" errorTitle="Invalid Input" error="Please enter and integer value." sqref="B17:E17" xr:uid="{00000000-0002-0000-0500-000000000000}">
      <formula1>0</formula1>
    </dataValidation>
    <dataValidation type="whole" allowBlank="1" showInputMessage="1" showErrorMessage="1" promptTitle="# of Crossroad Lanes" prompt="The total # of crossroad lanes can be a value between 2 and 6 for signalized terminals." sqref="B15:E15" xr:uid="{00000000-0002-0000-0500-000001000000}">
      <formula1>2</formula1>
      <formula2>6</formula2>
    </dataValidation>
    <dataValidation type="whole" allowBlank="1" showInputMessage="1" showErrorMessage="1" promptTitle="# of Crossroad Lanes" prompt="The total # of crossroad lanes can be a value between 2 and 4 for unsignalized terminals." sqref="F15:G15" xr:uid="{00000000-0002-0000-0500-000002000000}">
      <formula1>2</formula1>
      <formula2>4</formula2>
    </dataValidation>
    <dataValidation type="whole" allowBlank="1" showInputMessage="1" showErrorMessage="1" errorTitle="Invalid Input" error="Please enter an integer value that is less than or equal to the total # of crossroad lanes." prompt="An integer value that is less than or equal to the total # of crossroad lanes." sqref="B16:E16" xr:uid="{00000000-0002-0000-0500-000003000000}">
      <formula1>0</formula1>
      <formula2>B15</formula2>
    </dataValidation>
    <dataValidation allowBlank="1" showInputMessage="1" showErrorMessage="1" errorTitle="Invalid Input" error="The value for median width must be between 0 and 50 feet (seed the Definitions sheet for more information)." promptTitle="Median Width" prompt="Please enter a value between 0 and 50 feet." sqref="B33:G33" xr:uid="{00000000-0002-0000-0500-000004000000}"/>
    <dataValidation allowBlank="1" showInputMessage="1" showErrorMessage="1" errorTitle="Invalid Input" error="The left turn lane/bay width must be a value between 0 and 26 feet (see the Definitions sheet for more information)." promptTitle="Left Turn Lane/Bay Width" prompt="The left turn lane/bay width can be a value between 0 and 26 feet." sqref="B37:G37" xr:uid="{00000000-0002-0000-0500-000005000000}"/>
    <dataValidation type="decimal" operator="greaterThanOrEqual" showInputMessage="1" showErrorMessage="1" errorTitle="Invalid Input" error="The distance to the nearest ramp terminal must be a non-negative value in miles (see Definitions sheet for more information)." promptTitle="Distance (mi)" prompt="Enter the distance to the adjacent ramp terminal." sqref="B30:G30" xr:uid="{00000000-0002-0000-0500-000006000000}">
      <formula1>0</formula1>
    </dataValidation>
    <dataValidation type="decimal" operator="greaterThanOrEqual" showInputMessage="1" showErrorMessage="1" errorTitle="Invalid Input" error="The distance to the nearest ramp terminal must be a non-negative value in miles (see Definitions sheet for more information)." promptTitle="Distance (mi)" prompt="Distance to the next public street intersection on the outside leg away from the ramp terminal." sqref="B31:G31" xr:uid="{00000000-0002-0000-0500-000007000000}">
      <formula1>0</formula1>
    </dataValidation>
    <dataValidation type="whole" showInputMessage="1" showErrorMessage="1" errorTitle="Invalid Input" error="The exit ramp skew angle must be a whole number value in degrees between 0 an 70." promptTitle="Skew Angle (degrees)" prompt="Specify the exit ramp skew angle in degrees (0-70)." sqref="F25:G25" xr:uid="{00000000-0002-0000-0500-000008000000}">
      <formula1>0</formula1>
      <formula2>70</formula2>
    </dataValidation>
    <dataValidation type="whole" allowBlank="1" showInputMessage="1" showErrorMessage="1" errorTitle="Invalid Input" error="The value for inscribed circle diameter must be a whole number greater than 0.  The default value is 130." promptTitle="Inscribed Circle Diameter" prompt="Please enter the Inscribed Circle Diameter in feet, the calibrated range is from 90 to 160 feet." sqref="J46:K46" xr:uid="{00000000-0002-0000-0500-000009000000}">
      <formula1>90</formula1>
      <formula2>160</formula2>
    </dataValidation>
    <dataValidation type="decimal" showInputMessage="1" showErrorMessage="1" errorTitle="Invalid Input" error="Please enter a value between 24 ft and 36 ft for leg entry width." promptTitle="Entry Width (ft)" prompt="Please input the value in feet for entry width, the allowable range is 24 to 34 feet. The default value is 29 ft." sqref="L52:M52 L59:M59 L66:M66" xr:uid="{00000000-0002-0000-0500-00000A000000}">
      <formula1>24</formula1>
      <formula2>34</formula2>
    </dataValidation>
  </dataValidations>
  <pageMargins left="0.7" right="0.7" top="0.75" bottom="0.75" header="0.3" footer="0.3"/>
  <pageSetup orientation="portrait" r:id="rId1"/>
  <ignoredErrors>
    <ignoredError sqref="C5 E5 D5 F5:G5" formula="1"/>
    <ignoredError sqref="F6:G13 E6:E13 D6:D13 C6:C13" formula="1" unlockedFormula="1"/>
    <ignoredError sqref="B6:B13 B14:G14 B17:E17" unlockedFormula="1"/>
  </ignoredErrors>
  <legacyDrawing r:id="rId2"/>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500-00000B000000}">
          <x14:formula1>
            <xm:f>Notes!$J$49:$J$50</xm:f>
          </x14:formula1>
          <xm:sqref>B14:G14</xm:sqref>
        </x14:dataValidation>
        <x14:dataValidation type="list" allowBlank="1" showInputMessage="1" showErrorMessage="1" xr:uid="{00000000-0002-0000-0500-00000C000000}">
          <x14:formula1>
            <xm:f>Notes!$Q$19:$Q$21</xm:f>
          </x14:formula1>
          <xm:sqref>B38:G38 B34:G36 B26:E26 B40:E44</xm:sqref>
        </x14:dataValidation>
        <x14:dataValidation type="list" showInputMessage="1" showErrorMessage="1" xr:uid="{00000000-0002-0000-0500-00000D000000}">
          <x14:formula1>
            <xm:f>Labels!$A$79:$A$80</xm:f>
          </x14:formula1>
          <xm:sqref>B27:G27</xm:sqref>
        </x14:dataValidation>
        <x14:dataValidation type="list" showInputMessage="1" showErrorMessage="1" errorTitle="Invalid Input" error="The number of effective lanes serving the ramp must be between 1 and 4 for signal-controlled terminals (see the Definitions sheet for more information)." promptTitle="Number of Lanes" prompt="Selected the effective number of lanes serving the exit ramp." xr:uid="{00000000-0002-0000-0500-00000E000000}">
          <x14:formula1>
            <xm:f>Labels!$A$83:$A$86</xm:f>
          </x14:formula1>
          <xm:sqref>B28:E28</xm:sqref>
        </x14:dataValidation>
        <x14:dataValidation type="list" showInputMessage="1" showErrorMessage="1" errorTitle="Invalid Input" error="The number of effective lanes serving the ramp must be 1 or 2 for stop-controlled terminals (see the Definitions sheet for more information)." promptTitle="Number of Lanes" prompt="Select the effective number of lanes serving the exit ramp." xr:uid="{00000000-0002-0000-0500-00000F000000}">
          <x14:formula1>
            <xm:f>Labels!$A$83:$A$84</xm:f>
          </x14:formula1>
          <xm:sqref>F28:G28</xm:sqref>
        </x14:dataValidation>
        <x14:dataValidation type="list" showInputMessage="1" showErrorMessage="1" errorTitle="Invalid Input" error="The number of driveways must be between 0 and 4." promptTitle="Number of Driveways" prompt="Select the number of driveways on the crossroad leg outside of the interchange." xr:uid="{00000000-0002-0000-0500-000010000000}">
          <x14:formula1>
            <xm:f>Labels!$A$89:$A$94</xm:f>
          </x14:formula1>
          <xm:sqref>B29:E29</xm:sqref>
        </x14:dataValidation>
        <x14:dataValidation type="list" showInputMessage="1" showErrorMessage="1" errorTitle="Invalid Input" error="The number of public street approaches must be a value between 0 and 2." promptTitle="Public Street Approaches" prompt="Select the number of unsignalized public street approaches within 250ft of the interchange on the crossroad leg outside of the interchange." xr:uid="{00000000-0002-0000-0500-000011000000}">
          <x14:formula1>
            <xm:f>Labels!$A$89:$A$91</xm:f>
          </x14:formula1>
          <xm:sqref>B32:G32</xm:sqref>
        </x14:dataValidation>
        <x14:dataValidation type="decimal" allowBlank="1" showInputMessage="1" showErrorMessage="1" xr:uid="{00000000-0002-0000-0500-000012000000}">
          <x14:formula1>
            <xm:f>0</xm:f>
          </x14:formula1>
          <x14:formula2>
            <xm:f>'Control Strategy Selection'!$D$13</xm:f>
          </x14:formula2>
          <xm:sqref>J63:M63</xm:sqref>
        </x14:dataValidation>
        <x14:dataValidation type="list" showInputMessage="1" showErrorMessage="1" errorTitle="Invalid Input" error="Please select a value from the drop-down list." promptTitle="Access Point Frequency" prompt="Enter the number of access points occuring on the leg within 250 feet of the yield line." xr:uid="{00000000-0002-0000-0500-000013000000}">
          <x14:formula1>
            <xm:f>Notes!$S$29:$S$37</xm:f>
          </x14:formula1>
          <xm:sqref>J51:K51 J58:K58 J65:K65</xm:sqref>
        </x14:dataValidation>
        <x14:dataValidation type="list" showInputMessage="1" showErrorMessage="1" errorTitle="Invalid Input" error="Please select a value of Yes or No from the drop-down menu." promptTitle="Leg has Right-Turn Bypass Lane" prompt="Select whether the roundabout leg has a right-turn bypass lane." xr:uid="{00000000-0002-0000-0500-000014000000}">
          <x14:formula1>
            <xm:f>Notes!$Q$19:$Q$20</xm:f>
          </x14:formula1>
          <xm:sqref>J50:M50 J57:M57 J64:M64</xm:sqref>
        </x14:dataValidation>
        <x14:dataValidation type="list" showInputMessage="1" showErrorMessage="1" errorTitle="Invalid Input" error="Please select a value from the drop-down menu." promptTitle="# of Entering Lanes" prompt="Select the number of entering lanes for the roundabout leg (between 1 and 2).  The default value is 2." xr:uid="{00000000-0002-0000-0500-000016000000}">
          <x14:formula1>
            <xm:f>Notes!$S$30:$S$31</xm:f>
          </x14:formula1>
          <xm:sqref>L53:M53 L60:M60 L67:M67</xm:sqref>
        </x14:dataValidation>
        <x14:dataValidation type="list" showInputMessage="1" showErrorMessage="1" errorTitle="Invalid Input" error="Please select a value from the drop-down menu." promptTitle="# Circulating Lanes" prompt="Select the number of circulating lanes for the roundabout leg (1 or 2). The default value is 2." xr:uid="{00000000-0002-0000-0500-000017000000}">
          <x14:formula1>
            <xm:f>Notes!$S$30:$S$31</xm:f>
          </x14:formula1>
          <xm:sqref>L54:M54 L61:M61 L68:M68</xm:sqref>
        </x14:dataValidation>
        <x14:dataValidation type="list" showInputMessage="1" showErrorMessage="1" errorTitle="Invalid Input" error="Please select a value from the drop-down menu." promptTitle="One Outbound Only Leg" prompt="Select yes if the terminal has one (and only one) outbound-only lane." xr:uid="{00000000-0002-0000-0500-000018000000}">
          <x14:formula1>
            <xm:f>Notes!$Q$19:$Q$20</xm:f>
          </x14:formula1>
          <xm:sqref>J47:M47</xm:sqref>
        </x14:dataValidation>
        <x14:dataValidation type="whole" allowBlank="1" showInputMessage="1" showErrorMessage="1" xr:uid="{00000000-0002-0000-0500-000015000000}">
          <x14:formula1>
            <xm:f>0</xm:f>
          </x14:formula1>
          <x14:formula2>
            <xm:f>SUM('Control Strategy Selection'!D48:D49)</xm:f>
          </x14:formula2>
          <xm:sqref>J49:M49 L56:M56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1:O50"/>
  <sheetViews>
    <sheetView topLeftCell="A18" zoomScale="55" zoomScaleNormal="55" workbookViewId="0">
      <selection activeCell="W30" sqref="W30"/>
    </sheetView>
  </sheetViews>
  <sheetFormatPr defaultColWidth="8.88671875" defaultRowHeight="14.4" x14ac:dyDescent="0.3"/>
  <cols>
    <col min="1" max="1" width="40.109375" style="8" customWidth="1"/>
    <col min="2" max="2" width="19" style="8" customWidth="1"/>
    <col min="3" max="5" width="18.33203125" style="8" customWidth="1"/>
    <col min="6" max="6" width="19.33203125" style="8" customWidth="1"/>
    <col min="7" max="7" width="18.6640625" style="8" customWidth="1"/>
    <col min="8" max="16384" width="8.88671875" style="8"/>
  </cols>
  <sheetData>
    <row r="1" spans="1:8" ht="18" x14ac:dyDescent="0.35">
      <c r="A1" s="671" t="s">
        <v>108</v>
      </c>
      <c r="B1" s="671"/>
      <c r="C1" s="671"/>
      <c r="D1" s="671"/>
      <c r="E1" s="671"/>
      <c r="F1" s="671"/>
      <c r="G1" s="671"/>
    </row>
    <row r="2" spans="1:8" ht="15" customHeight="1" x14ac:dyDescent="0.3">
      <c r="A2" s="672" t="s">
        <v>82</v>
      </c>
      <c r="B2" s="672"/>
      <c r="C2" s="672"/>
      <c r="D2" s="672"/>
      <c r="E2" s="672"/>
      <c r="F2" s="672"/>
      <c r="G2" s="672"/>
    </row>
    <row r="3" spans="1:8" x14ac:dyDescent="0.3">
      <c r="A3" s="12" t="s">
        <v>104</v>
      </c>
      <c r="B3" s="673" t="s">
        <v>43</v>
      </c>
      <c r="C3" s="673"/>
      <c r="D3" s="673" t="s">
        <v>293</v>
      </c>
      <c r="E3" s="673"/>
      <c r="F3" s="673" t="s">
        <v>112</v>
      </c>
      <c r="G3" s="673"/>
    </row>
    <row r="4" spans="1:8" x14ac:dyDescent="0.3">
      <c r="A4" s="12"/>
      <c r="B4" s="674" t="s">
        <v>292</v>
      </c>
      <c r="C4" s="675"/>
      <c r="D4" s="674" t="s">
        <v>292</v>
      </c>
      <c r="E4" s="675"/>
      <c r="F4" s="674" t="s">
        <v>292</v>
      </c>
      <c r="G4" s="675"/>
    </row>
    <row r="5" spans="1:8" x14ac:dyDescent="0.3">
      <c r="A5" s="9" t="s">
        <v>107</v>
      </c>
      <c r="B5" s="10" t="s">
        <v>109</v>
      </c>
      <c r="C5" s="10" t="s">
        <v>110</v>
      </c>
      <c r="D5" s="10" t="s">
        <v>109</v>
      </c>
      <c r="E5" s="10" t="s">
        <v>110</v>
      </c>
      <c r="F5" s="10" t="s">
        <v>109</v>
      </c>
      <c r="G5" s="10" t="s">
        <v>110</v>
      </c>
    </row>
    <row r="6" spans="1:8" x14ac:dyDescent="0.3">
      <c r="A6" s="9" t="s">
        <v>64</v>
      </c>
      <c r="B6" s="56">
        <v>18000</v>
      </c>
      <c r="C6" s="56">
        <v>17000</v>
      </c>
      <c r="D6" s="14">
        <f>B6</f>
        <v>18000</v>
      </c>
      <c r="E6" s="14">
        <f>C6</f>
        <v>17000</v>
      </c>
      <c r="F6" s="14">
        <f>B6</f>
        <v>18000</v>
      </c>
      <c r="G6" s="14">
        <f>C6</f>
        <v>17000</v>
      </c>
      <c r="H6" s="5"/>
    </row>
    <row r="7" spans="1:8" x14ac:dyDescent="0.3">
      <c r="A7" s="9" t="s">
        <v>65</v>
      </c>
      <c r="B7" s="56">
        <v>5000</v>
      </c>
      <c r="C7" s="56">
        <v>4500</v>
      </c>
      <c r="D7" s="14">
        <f>B7</f>
        <v>5000</v>
      </c>
      <c r="E7" s="14">
        <f>C7</f>
        <v>4500</v>
      </c>
      <c r="F7" s="14">
        <f>B7</f>
        <v>5000</v>
      </c>
      <c r="G7" s="14">
        <f>C7</f>
        <v>4500</v>
      </c>
      <c r="H7" s="5"/>
    </row>
    <row r="8" spans="1:8" x14ac:dyDescent="0.3">
      <c r="A8" s="9" t="s">
        <v>130</v>
      </c>
      <c r="B8" s="664" t="s">
        <v>131</v>
      </c>
      <c r="C8" s="665"/>
      <c r="D8" s="666" t="str">
        <f>B8</f>
        <v>Urban</v>
      </c>
      <c r="E8" s="667"/>
      <c r="F8" s="666" t="str">
        <f>B8</f>
        <v>Urban</v>
      </c>
      <c r="G8" s="667"/>
      <c r="H8" s="5"/>
    </row>
    <row r="9" spans="1:8" x14ac:dyDescent="0.3">
      <c r="A9" s="9" t="s">
        <v>66</v>
      </c>
      <c r="B9" s="13">
        <v>2</v>
      </c>
      <c r="C9" s="13">
        <v>2</v>
      </c>
      <c r="D9" s="13">
        <v>2</v>
      </c>
      <c r="E9" s="13">
        <v>2</v>
      </c>
      <c r="F9" s="13">
        <v>2</v>
      </c>
      <c r="G9" s="13">
        <v>2</v>
      </c>
      <c r="H9" s="8" t="s">
        <v>211</v>
      </c>
    </row>
    <row r="12" spans="1:8" ht="14.4" customHeight="1" x14ac:dyDescent="0.3">
      <c r="A12"/>
      <c r="B12"/>
      <c r="C12"/>
      <c r="D12"/>
      <c r="E12"/>
      <c r="F12"/>
      <c r="G12"/>
    </row>
    <row r="13" spans="1:8" ht="14.4" customHeight="1" x14ac:dyDescent="0.3">
      <c r="A13"/>
      <c r="B13"/>
      <c r="C13"/>
      <c r="D13"/>
      <c r="E13"/>
      <c r="F13"/>
      <c r="G13"/>
    </row>
    <row r="14" spans="1:8" ht="14.4" customHeight="1" x14ac:dyDescent="0.3">
      <c r="A14"/>
      <c r="B14"/>
      <c r="C14"/>
      <c r="D14"/>
      <c r="E14"/>
      <c r="F14"/>
      <c r="G14"/>
    </row>
    <row r="15" spans="1:8" ht="14.4" customHeight="1" x14ac:dyDescent="0.3">
      <c r="A15"/>
      <c r="B15"/>
      <c r="C15"/>
      <c r="D15"/>
      <c r="E15"/>
      <c r="F15"/>
      <c r="G15"/>
    </row>
    <row r="16" spans="1:8" ht="14.4" customHeight="1" x14ac:dyDescent="0.3">
      <c r="A16"/>
      <c r="B16"/>
      <c r="C16"/>
      <c r="D16"/>
      <c r="E16"/>
      <c r="F16"/>
      <c r="G16"/>
    </row>
    <row r="17" spans="1:15" ht="14.4" customHeight="1" x14ac:dyDescent="0.3">
      <c r="A17"/>
      <c r="B17"/>
      <c r="C17"/>
      <c r="D17"/>
      <c r="E17"/>
      <c r="F17"/>
      <c r="G17"/>
    </row>
    <row r="18" spans="1:15" ht="34.200000000000003" customHeight="1" x14ac:dyDescent="0.3">
      <c r="A18" s="57" t="s">
        <v>133</v>
      </c>
      <c r="B18" s="668" t="s">
        <v>269</v>
      </c>
      <c r="C18" s="669"/>
      <c r="D18" s="669"/>
      <c r="E18" s="669"/>
      <c r="F18" s="669"/>
      <c r="G18" s="670"/>
      <c r="H18"/>
      <c r="I18"/>
      <c r="J18"/>
      <c r="K18"/>
      <c r="L18"/>
      <c r="M18"/>
      <c r="N18"/>
      <c r="O18"/>
    </row>
    <row r="19" spans="1:15" x14ac:dyDescent="0.3">
      <c r="A19" s="26" t="s">
        <v>67</v>
      </c>
      <c r="B19" s="58" t="s">
        <v>88</v>
      </c>
      <c r="C19" s="58" t="s">
        <v>88</v>
      </c>
      <c r="D19" s="58" t="s">
        <v>88</v>
      </c>
      <c r="E19" s="58" t="s">
        <v>88</v>
      </c>
      <c r="F19" s="58" t="s">
        <v>88</v>
      </c>
      <c r="G19" s="58" t="s">
        <v>88</v>
      </c>
    </row>
    <row r="20" spans="1:15" x14ac:dyDescent="0.3">
      <c r="A20" s="26" t="s">
        <v>68</v>
      </c>
      <c r="B20" s="58" t="s">
        <v>88</v>
      </c>
      <c r="C20" s="58" t="s">
        <v>88</v>
      </c>
      <c r="D20" s="58" t="s">
        <v>88</v>
      </c>
      <c r="E20" s="58" t="s">
        <v>88</v>
      </c>
      <c r="F20" s="58" t="s">
        <v>88</v>
      </c>
      <c r="G20" s="58" t="s">
        <v>88</v>
      </c>
    </row>
    <row r="21" spans="1:15" x14ac:dyDescent="0.3">
      <c r="A21" s="29" t="s">
        <v>40</v>
      </c>
      <c r="B21" s="61" t="s">
        <v>261</v>
      </c>
      <c r="C21" s="61" t="s">
        <v>214</v>
      </c>
      <c r="D21" s="61" t="s">
        <v>228</v>
      </c>
      <c r="E21" s="61" t="s">
        <v>295</v>
      </c>
      <c r="F21" s="60" t="s">
        <v>294</v>
      </c>
      <c r="G21" s="60" t="s">
        <v>294</v>
      </c>
    </row>
    <row r="22" spans="1:15" x14ac:dyDescent="0.3">
      <c r="A22" s="29" t="s">
        <v>212</v>
      </c>
      <c r="B22" s="60" t="s">
        <v>213</v>
      </c>
      <c r="C22" s="60" t="s">
        <v>214</v>
      </c>
      <c r="D22" s="60" t="s">
        <v>215</v>
      </c>
      <c r="E22" s="60" t="s">
        <v>296</v>
      </c>
      <c r="F22" s="60" t="s">
        <v>294</v>
      </c>
      <c r="G22" s="60" t="s">
        <v>294</v>
      </c>
    </row>
    <row r="23" spans="1:15" x14ac:dyDescent="0.3">
      <c r="A23" s="29" t="s">
        <v>262</v>
      </c>
      <c r="B23" s="60" t="s">
        <v>216</v>
      </c>
      <c r="C23" s="60" t="s">
        <v>214</v>
      </c>
      <c r="D23" s="60" t="s">
        <v>217</v>
      </c>
      <c r="E23" s="60" t="s">
        <v>296</v>
      </c>
      <c r="F23" s="60" t="s">
        <v>294</v>
      </c>
      <c r="G23" s="60" t="s">
        <v>294</v>
      </c>
      <c r="H23" s="59"/>
      <c r="I23" s="59"/>
      <c r="J23" s="59"/>
      <c r="K23" s="59"/>
      <c r="L23" s="59"/>
    </row>
    <row r="24" spans="1:15" x14ac:dyDescent="0.3">
      <c r="A24" s="26" t="s">
        <v>253</v>
      </c>
      <c r="B24" s="60" t="s">
        <v>257</v>
      </c>
      <c r="C24" s="60" t="s">
        <v>214</v>
      </c>
      <c r="D24" s="60" t="s">
        <v>218</v>
      </c>
      <c r="E24" s="60" t="s">
        <v>296</v>
      </c>
      <c r="F24" s="60" t="s">
        <v>294</v>
      </c>
      <c r="G24" s="60" t="s">
        <v>294</v>
      </c>
    </row>
    <row r="25" spans="1:15" x14ac:dyDescent="0.3">
      <c r="A25" s="29" t="s">
        <v>254</v>
      </c>
      <c r="B25" s="60" t="s">
        <v>258</v>
      </c>
      <c r="C25" s="60" t="s">
        <v>214</v>
      </c>
      <c r="D25" s="60" t="s">
        <v>218</v>
      </c>
      <c r="E25" s="60" t="s">
        <v>296</v>
      </c>
      <c r="F25" s="60" t="s">
        <v>294</v>
      </c>
      <c r="G25" s="60" t="s">
        <v>294</v>
      </c>
    </row>
    <row r="26" spans="1:15" x14ac:dyDescent="0.3">
      <c r="A26" s="29" t="s">
        <v>255</v>
      </c>
      <c r="B26" s="60" t="s">
        <v>259</v>
      </c>
      <c r="C26" s="60" t="s">
        <v>214</v>
      </c>
      <c r="D26" s="60" t="s">
        <v>218</v>
      </c>
      <c r="E26" s="60" t="s">
        <v>296</v>
      </c>
      <c r="F26" s="60" t="s">
        <v>294</v>
      </c>
      <c r="G26" s="60" t="s">
        <v>294</v>
      </c>
    </row>
    <row r="27" spans="1:15" x14ac:dyDescent="0.3">
      <c r="A27" s="11" t="s">
        <v>256</v>
      </c>
      <c r="B27" s="60" t="s">
        <v>260</v>
      </c>
      <c r="C27" s="60" t="s">
        <v>214</v>
      </c>
      <c r="D27" s="60" t="s">
        <v>218</v>
      </c>
      <c r="E27" s="60" t="s">
        <v>296</v>
      </c>
      <c r="F27" s="60" t="s">
        <v>294</v>
      </c>
      <c r="G27" s="60" t="s">
        <v>294</v>
      </c>
    </row>
    <row r="28" spans="1:15" ht="55.2" x14ac:dyDescent="0.3">
      <c r="A28" s="29" t="s">
        <v>219</v>
      </c>
      <c r="B28" s="60" t="s">
        <v>220</v>
      </c>
      <c r="C28" s="60" t="s">
        <v>214</v>
      </c>
      <c r="D28" s="60" t="s">
        <v>221</v>
      </c>
      <c r="E28" s="60" t="s">
        <v>296</v>
      </c>
      <c r="F28" s="60" t="s">
        <v>294</v>
      </c>
      <c r="G28" s="60" t="s">
        <v>294</v>
      </c>
    </row>
    <row r="29" spans="1:15" ht="41.4" x14ac:dyDescent="0.3">
      <c r="A29" s="28" t="s">
        <v>222</v>
      </c>
      <c r="B29" s="60" t="s">
        <v>223</v>
      </c>
      <c r="C29" s="60" t="s">
        <v>214</v>
      </c>
      <c r="D29" s="60" t="s">
        <v>221</v>
      </c>
      <c r="E29" s="60" t="s">
        <v>296</v>
      </c>
      <c r="F29" s="61" t="s">
        <v>79</v>
      </c>
      <c r="G29" s="61" t="s">
        <v>79</v>
      </c>
    </row>
    <row r="30" spans="1:15" ht="41.4" x14ac:dyDescent="0.3">
      <c r="A30" s="9" t="s">
        <v>224</v>
      </c>
      <c r="B30" s="60" t="s">
        <v>226</v>
      </c>
      <c r="C30" s="60" t="s">
        <v>214</v>
      </c>
      <c r="D30" s="60" t="s">
        <v>228</v>
      </c>
      <c r="E30" s="60" t="s">
        <v>296</v>
      </c>
      <c r="F30" s="60" t="s">
        <v>294</v>
      </c>
      <c r="G30" s="60" t="s">
        <v>294</v>
      </c>
    </row>
    <row r="31" spans="1:15" ht="41.4" x14ac:dyDescent="0.3">
      <c r="A31" s="26" t="s">
        <v>225</v>
      </c>
      <c r="B31" s="60" t="s">
        <v>227</v>
      </c>
      <c r="C31" s="60" t="s">
        <v>214</v>
      </c>
      <c r="D31" s="60" t="s">
        <v>228</v>
      </c>
      <c r="E31" s="60" t="s">
        <v>296</v>
      </c>
      <c r="F31" s="60" t="s">
        <v>294</v>
      </c>
      <c r="G31" s="60" t="s">
        <v>294</v>
      </c>
    </row>
    <row r="32" spans="1:15" ht="27.6" x14ac:dyDescent="0.3">
      <c r="A32" s="26" t="s">
        <v>229</v>
      </c>
      <c r="B32" s="60" t="s">
        <v>230</v>
      </c>
      <c r="C32" s="60" t="s">
        <v>214</v>
      </c>
      <c r="D32" s="60" t="s">
        <v>228</v>
      </c>
      <c r="E32" s="60" t="s">
        <v>296</v>
      </c>
      <c r="F32" s="60" t="s">
        <v>294</v>
      </c>
      <c r="G32" s="60" t="s">
        <v>294</v>
      </c>
    </row>
    <row r="33" spans="1:7" x14ac:dyDescent="0.3">
      <c r="A33" s="26" t="s">
        <v>231</v>
      </c>
      <c r="B33" s="60" t="s">
        <v>233</v>
      </c>
      <c r="C33" s="60" t="s">
        <v>214</v>
      </c>
      <c r="D33" s="60" t="s">
        <v>235</v>
      </c>
      <c r="E33" s="60" t="s">
        <v>296</v>
      </c>
      <c r="F33" s="60" t="s">
        <v>294</v>
      </c>
      <c r="G33" s="60" t="s">
        <v>294</v>
      </c>
    </row>
    <row r="34" spans="1:7" x14ac:dyDescent="0.3">
      <c r="A34" s="27" t="s">
        <v>232</v>
      </c>
      <c r="B34" s="60" t="s">
        <v>234</v>
      </c>
      <c r="C34" s="60" t="s">
        <v>214</v>
      </c>
      <c r="D34" s="60" t="s">
        <v>235</v>
      </c>
      <c r="E34" s="60" t="s">
        <v>296</v>
      </c>
      <c r="F34" s="60" t="s">
        <v>294</v>
      </c>
      <c r="G34" s="60" t="s">
        <v>294</v>
      </c>
    </row>
    <row r="35" spans="1:7" ht="27.6" x14ac:dyDescent="0.3">
      <c r="A35" s="26" t="s">
        <v>236</v>
      </c>
      <c r="B35" s="60" t="s">
        <v>238</v>
      </c>
      <c r="C35" s="60" t="s">
        <v>214</v>
      </c>
      <c r="D35" s="60" t="s">
        <v>221</v>
      </c>
      <c r="E35" s="60" t="s">
        <v>296</v>
      </c>
      <c r="F35" s="61" t="s">
        <v>79</v>
      </c>
      <c r="G35" s="61" t="s">
        <v>79</v>
      </c>
    </row>
    <row r="36" spans="1:7" ht="27.6" x14ac:dyDescent="0.3">
      <c r="A36" s="26" t="s">
        <v>237</v>
      </c>
      <c r="B36" s="60" t="s">
        <v>239</v>
      </c>
      <c r="C36" s="60" t="s">
        <v>214</v>
      </c>
      <c r="D36" s="60" t="s">
        <v>221</v>
      </c>
      <c r="E36" s="60" t="s">
        <v>296</v>
      </c>
      <c r="F36" s="61" t="s">
        <v>79</v>
      </c>
      <c r="G36" s="61" t="s">
        <v>79</v>
      </c>
    </row>
    <row r="37" spans="1:7" ht="27.6" x14ac:dyDescent="0.3">
      <c r="A37" s="29" t="s">
        <v>240</v>
      </c>
      <c r="B37" s="60" t="s">
        <v>242</v>
      </c>
      <c r="C37" s="60" t="s">
        <v>214</v>
      </c>
      <c r="D37" s="60" t="s">
        <v>244</v>
      </c>
      <c r="E37" s="60" t="s">
        <v>296</v>
      </c>
      <c r="F37" s="61" t="s">
        <v>79</v>
      </c>
      <c r="G37" s="61" t="s">
        <v>79</v>
      </c>
    </row>
    <row r="38" spans="1:7" ht="27.6" x14ac:dyDescent="0.3">
      <c r="A38" s="29" t="s">
        <v>241</v>
      </c>
      <c r="B38" s="60" t="s">
        <v>243</v>
      </c>
      <c r="C38" s="60" t="s">
        <v>214</v>
      </c>
      <c r="D38" s="60" t="s">
        <v>244</v>
      </c>
      <c r="E38" s="60" t="s">
        <v>296</v>
      </c>
      <c r="F38" s="61" t="s">
        <v>79</v>
      </c>
      <c r="G38" s="61" t="s">
        <v>79</v>
      </c>
    </row>
    <row r="39" spans="1:7" ht="27.6" x14ac:dyDescent="0.3">
      <c r="A39" s="29" t="s">
        <v>245</v>
      </c>
      <c r="B39" s="60" t="s">
        <v>248</v>
      </c>
      <c r="C39" s="60" t="s">
        <v>214</v>
      </c>
      <c r="D39" s="60" t="s">
        <v>244</v>
      </c>
      <c r="E39" s="60" t="s">
        <v>296</v>
      </c>
      <c r="F39" s="61" t="s">
        <v>79</v>
      </c>
      <c r="G39" s="61" t="s">
        <v>79</v>
      </c>
    </row>
    <row r="40" spans="1:7" ht="27.6" x14ac:dyDescent="0.3">
      <c r="A40" s="26" t="s">
        <v>246</v>
      </c>
      <c r="B40" s="60" t="s">
        <v>249</v>
      </c>
      <c r="C40" s="60" t="s">
        <v>214</v>
      </c>
      <c r="D40" s="60" t="s">
        <v>244</v>
      </c>
      <c r="E40" s="60" t="s">
        <v>296</v>
      </c>
      <c r="F40" s="61" t="s">
        <v>79</v>
      </c>
      <c r="G40" s="61" t="s">
        <v>79</v>
      </c>
    </row>
    <row r="41" spans="1:7" x14ac:dyDescent="0.3">
      <c r="A41" s="26" t="s">
        <v>247</v>
      </c>
      <c r="B41" s="60" t="s">
        <v>250</v>
      </c>
      <c r="C41" s="60" t="s">
        <v>214</v>
      </c>
      <c r="D41" s="60" t="s">
        <v>244</v>
      </c>
      <c r="E41" s="60" t="s">
        <v>296</v>
      </c>
      <c r="F41" s="61" t="s">
        <v>79</v>
      </c>
      <c r="G41" s="61" t="s">
        <v>79</v>
      </c>
    </row>
    <row r="42" spans="1:7" x14ac:dyDescent="0.3">
      <c r="A42" s="29" t="s">
        <v>251</v>
      </c>
      <c r="B42" s="60" t="s">
        <v>252</v>
      </c>
      <c r="C42" s="60" t="s">
        <v>214</v>
      </c>
      <c r="D42" s="60" t="s">
        <v>244</v>
      </c>
      <c r="E42" s="60" t="s">
        <v>296</v>
      </c>
      <c r="F42" s="61" t="s">
        <v>79</v>
      </c>
      <c r="G42" s="61" t="s">
        <v>79</v>
      </c>
    </row>
    <row r="43" spans="1:7" x14ac:dyDescent="0.3">
      <c r="A43"/>
      <c r="B43"/>
      <c r="C43"/>
      <c r="D43"/>
      <c r="E43"/>
      <c r="F43"/>
      <c r="G43"/>
    </row>
    <row r="44" spans="1:7" x14ac:dyDescent="0.3">
      <c r="A44"/>
      <c r="B44"/>
      <c r="C44"/>
      <c r="D44"/>
      <c r="E44"/>
    </row>
    <row r="45" spans="1:7" x14ac:dyDescent="0.3">
      <c r="A45"/>
      <c r="B45"/>
      <c r="C45"/>
      <c r="D45"/>
      <c r="E45"/>
    </row>
    <row r="46" spans="1:7" x14ac:dyDescent="0.3">
      <c r="A46"/>
      <c r="B46"/>
      <c r="C46"/>
      <c r="D46"/>
      <c r="E46"/>
    </row>
    <row r="47" spans="1:7" x14ac:dyDescent="0.3">
      <c r="A47"/>
      <c r="B47"/>
      <c r="C47"/>
      <c r="D47"/>
      <c r="E47"/>
    </row>
    <row r="48" spans="1:7" x14ac:dyDescent="0.3">
      <c r="A48"/>
      <c r="B48"/>
      <c r="C48"/>
      <c r="D48"/>
      <c r="E48"/>
    </row>
    <row r="49" spans="1:5" x14ac:dyDescent="0.3">
      <c r="A49"/>
      <c r="B49"/>
      <c r="C49"/>
      <c r="D49"/>
      <c r="E49"/>
    </row>
    <row r="50" spans="1:5" x14ac:dyDescent="0.3">
      <c r="A50"/>
      <c r="B50"/>
      <c r="C50"/>
      <c r="D50"/>
      <c r="E50"/>
    </row>
  </sheetData>
  <mergeCells count="12">
    <mergeCell ref="B8:C8"/>
    <mergeCell ref="D8:E8"/>
    <mergeCell ref="F8:G8"/>
    <mergeCell ref="B18:G18"/>
    <mergeCell ref="A1:G1"/>
    <mergeCell ref="A2:G2"/>
    <mergeCell ref="B3:C3"/>
    <mergeCell ref="D3:E3"/>
    <mergeCell ref="F3:G3"/>
    <mergeCell ref="B4:C4"/>
    <mergeCell ref="D4:E4"/>
    <mergeCell ref="F4:G4"/>
  </mergeCell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Notes!$Q$19:$Q$21</xm:f>
          </x14:formula1>
          <xm:sqref>B19:G20</xm:sqref>
        </x14:dataValidation>
        <x14:dataValidation type="list" allowBlank="1" showInputMessage="1" showErrorMessage="1" xr:uid="{00000000-0002-0000-0600-000001000000}">
          <x14:formula1>
            <xm:f>Notes!$J$49:$J$50</xm:f>
          </x14:formula1>
          <xm:sqref>B8:C8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theme="4" tint="0.59999389629810485"/>
  </sheetPr>
  <dimension ref="A3:K15"/>
  <sheetViews>
    <sheetView workbookViewId="0">
      <selection activeCell="P9" sqref="P9"/>
    </sheetView>
  </sheetViews>
  <sheetFormatPr defaultRowHeight="14.4" x14ac:dyDescent="0.3"/>
  <cols>
    <col min="1" max="1" width="27.6640625" customWidth="1"/>
  </cols>
  <sheetData>
    <row r="3" spans="1:11" x14ac:dyDescent="0.3">
      <c r="A3" t="s">
        <v>287</v>
      </c>
      <c r="B3" s="43" t="s">
        <v>291</v>
      </c>
      <c r="C3" s="43"/>
      <c r="D3" s="43"/>
      <c r="E3" s="43"/>
      <c r="F3" s="676"/>
      <c r="G3" s="676"/>
      <c r="H3" s="676"/>
      <c r="I3" s="676"/>
    </row>
    <row r="4" spans="1:11" x14ac:dyDescent="0.3">
      <c r="A4" t="s">
        <v>288</v>
      </c>
      <c r="B4">
        <v>5</v>
      </c>
    </row>
    <row r="5" spans="1:11" x14ac:dyDescent="0.3">
      <c r="I5">
        <v>1</v>
      </c>
      <c r="J5" t="s">
        <v>301</v>
      </c>
      <c r="K5" t="s">
        <v>304</v>
      </c>
    </row>
    <row r="6" spans="1:11" x14ac:dyDescent="0.3">
      <c r="I6">
        <v>2</v>
      </c>
      <c r="J6" t="s">
        <v>302</v>
      </c>
      <c r="K6" t="s">
        <v>305</v>
      </c>
    </row>
    <row r="7" spans="1:11" x14ac:dyDescent="0.3">
      <c r="B7" t="s">
        <v>284</v>
      </c>
      <c r="C7" t="s">
        <v>189</v>
      </c>
      <c r="D7" t="s">
        <v>285</v>
      </c>
      <c r="E7" t="s">
        <v>286</v>
      </c>
      <c r="I7">
        <v>3</v>
      </c>
      <c r="J7" t="s">
        <v>303</v>
      </c>
      <c r="K7" t="s">
        <v>306</v>
      </c>
    </row>
    <row r="8" spans="1:11" x14ac:dyDescent="0.3">
      <c r="A8" t="s">
        <v>307</v>
      </c>
    </row>
    <row r="9" spans="1:11" x14ac:dyDescent="0.3">
      <c r="A9" t="s">
        <v>308</v>
      </c>
    </row>
    <row r="10" spans="1:11" x14ac:dyDescent="0.3">
      <c r="A10" t="s">
        <v>309</v>
      </c>
    </row>
    <row r="11" spans="1:11" x14ac:dyDescent="0.3">
      <c r="A11" t="s">
        <v>310</v>
      </c>
    </row>
    <row r="12" spans="1:11" x14ac:dyDescent="0.3">
      <c r="A12" t="s">
        <v>311</v>
      </c>
    </row>
    <row r="14" spans="1:11" ht="27.6" customHeight="1" x14ac:dyDescent="0.3">
      <c r="A14" s="55" t="s">
        <v>290</v>
      </c>
      <c r="B14" s="52">
        <v>35</v>
      </c>
      <c r="C14" s="52">
        <v>7</v>
      </c>
      <c r="D14" s="52">
        <v>28</v>
      </c>
      <c r="E14" s="52">
        <v>1</v>
      </c>
    </row>
    <row r="15" spans="1:11" ht="27" customHeight="1" x14ac:dyDescent="0.3">
      <c r="A15" s="54" t="s">
        <v>289</v>
      </c>
      <c r="B15" s="53">
        <f>B14/$B$4</f>
        <v>7</v>
      </c>
      <c r="C15" s="53">
        <f t="shared" ref="C15:E15" si="0">C14/$B$4</f>
        <v>1.4</v>
      </c>
      <c r="D15" s="53">
        <f t="shared" si="0"/>
        <v>5.6</v>
      </c>
      <c r="E15" s="53">
        <f t="shared" si="0"/>
        <v>0.2</v>
      </c>
    </row>
  </sheetData>
  <mergeCells count="1">
    <mergeCell ref="F3:I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theme="9" tint="0.59999389629810485"/>
  </sheetPr>
  <dimension ref="A1:P102"/>
  <sheetViews>
    <sheetView showGridLines="0" showRowColHeaders="0" topLeftCell="A10" zoomScaleNormal="100" workbookViewId="0">
      <selection activeCell="I50" sqref="I50:J50"/>
    </sheetView>
  </sheetViews>
  <sheetFormatPr defaultColWidth="0" defaultRowHeight="14.4" zeroHeight="1" x14ac:dyDescent="0.3"/>
  <cols>
    <col min="1" max="1" width="33.88671875" style="8" customWidth="1"/>
    <col min="2" max="2" width="38.6640625" style="8" customWidth="1"/>
    <col min="3" max="3" width="10.109375" style="8" customWidth="1"/>
    <col min="4" max="4" width="9.88671875" style="8" customWidth="1"/>
    <col min="5" max="6" width="13.5546875" style="8" customWidth="1"/>
    <col min="7" max="15" width="8.88671875" customWidth="1"/>
    <col min="16" max="16" width="3" customWidth="1"/>
    <col min="17" max="16384" width="8.88671875" hidden="1"/>
  </cols>
  <sheetData>
    <row r="1" spans="1:15" ht="25.8" x14ac:dyDescent="0.5">
      <c r="A1" s="736" t="s">
        <v>436</v>
      </c>
      <c r="B1" s="737"/>
      <c r="C1" s="737"/>
      <c r="D1" s="737"/>
      <c r="E1" s="737"/>
      <c r="F1" s="737"/>
      <c r="G1" s="737"/>
      <c r="H1" s="737"/>
      <c r="I1" s="737"/>
      <c r="J1" s="737"/>
      <c r="K1" s="737"/>
      <c r="L1" s="737"/>
      <c r="M1" s="737"/>
      <c r="N1" s="737"/>
      <c r="O1" s="738"/>
    </row>
    <row r="2" spans="1:15" ht="30.6" customHeight="1" x14ac:dyDescent="0.3">
      <c r="A2" s="739" t="s">
        <v>441</v>
      </c>
      <c r="B2" s="740"/>
      <c r="C2" s="740"/>
      <c r="D2" s="740"/>
      <c r="E2" s="740"/>
      <c r="F2" s="740"/>
      <c r="G2" s="740"/>
      <c r="H2" s="740"/>
      <c r="I2" s="740"/>
      <c r="J2" s="740"/>
      <c r="K2" s="740"/>
      <c r="L2" s="740"/>
      <c r="M2" s="740"/>
      <c r="N2" s="740"/>
      <c r="O2" s="741"/>
    </row>
    <row r="3" spans="1:15" x14ac:dyDescent="0.3">
      <c r="A3" s="683" t="s">
        <v>113</v>
      </c>
      <c r="B3" s="684"/>
      <c r="C3" s="684"/>
      <c r="D3" s="684"/>
      <c r="E3" s="684"/>
      <c r="F3" s="684"/>
      <c r="G3" s="684"/>
      <c r="H3" s="684"/>
      <c r="I3" s="684"/>
      <c r="J3" s="685"/>
      <c r="K3" s="2"/>
      <c r="L3" s="2"/>
      <c r="M3" s="2"/>
      <c r="N3" s="2"/>
      <c r="O3" s="192"/>
    </row>
    <row r="4" spans="1:15" ht="20.399999999999999" customHeight="1" x14ac:dyDescent="0.3">
      <c r="A4" s="721" t="s">
        <v>102</v>
      </c>
      <c r="B4" s="720" t="s">
        <v>36</v>
      </c>
      <c r="C4" s="720" t="s">
        <v>37</v>
      </c>
      <c r="D4" s="720" t="s">
        <v>477</v>
      </c>
      <c r="E4" s="720" t="s">
        <v>39</v>
      </c>
      <c r="F4" s="720" t="s">
        <v>187</v>
      </c>
      <c r="G4" s="686" t="s">
        <v>171</v>
      </c>
      <c r="H4" s="687"/>
      <c r="I4" s="690" t="s">
        <v>172</v>
      </c>
      <c r="J4" s="691"/>
      <c r="K4" s="2"/>
      <c r="L4" s="273"/>
      <c r="M4" s="183"/>
      <c r="N4" s="274"/>
      <c r="O4" s="192"/>
    </row>
    <row r="5" spans="1:15" ht="24.75" customHeight="1" x14ac:dyDescent="0.3">
      <c r="A5" s="721"/>
      <c r="B5" s="720"/>
      <c r="C5" s="720"/>
      <c r="D5" s="720"/>
      <c r="E5" s="720"/>
      <c r="F5" s="720"/>
      <c r="G5" s="688"/>
      <c r="H5" s="689"/>
      <c r="I5" s="692"/>
      <c r="J5" s="693"/>
      <c r="K5" s="2"/>
      <c r="L5" s="282"/>
      <c r="M5" s="184"/>
      <c r="N5" s="272"/>
      <c r="O5" s="192"/>
    </row>
    <row r="6" spans="1:15" x14ac:dyDescent="0.3">
      <c r="A6" s="722" t="s">
        <v>196</v>
      </c>
      <c r="B6" s="725" t="s">
        <v>474</v>
      </c>
      <c r="C6" s="17" t="s">
        <v>75</v>
      </c>
      <c r="D6" s="17" t="s">
        <v>46</v>
      </c>
      <c r="E6" s="17" t="s">
        <v>46</v>
      </c>
      <c r="F6" s="51">
        <f>CalibrationDefaults!F6</f>
        <v>1</v>
      </c>
      <c r="G6" s="679"/>
      <c r="H6" s="679"/>
      <c r="I6" s="682">
        <f>IF(ISNUMBER(G6),G6,F6)</f>
        <v>1</v>
      </c>
      <c r="J6" s="682"/>
      <c r="K6" s="2"/>
      <c r="L6" s="282"/>
      <c r="M6" s="184"/>
      <c r="N6" s="272"/>
      <c r="O6" s="192"/>
    </row>
    <row r="7" spans="1:15" x14ac:dyDescent="0.3">
      <c r="A7" s="723"/>
      <c r="B7" s="726"/>
      <c r="C7" s="17" t="s">
        <v>76</v>
      </c>
      <c r="D7" s="17" t="s">
        <v>46</v>
      </c>
      <c r="E7" s="17" t="s">
        <v>46</v>
      </c>
      <c r="F7" s="51">
        <f>CalibrationDefaults!F7</f>
        <v>1</v>
      </c>
      <c r="G7" s="677"/>
      <c r="H7" s="677"/>
      <c r="I7" s="682">
        <f t="shared" ref="I7:I43" si="0">IF(ISNUMBER(G7),G7,F7)</f>
        <v>1</v>
      </c>
      <c r="J7" s="682"/>
      <c r="K7" s="2"/>
      <c r="L7" s="275"/>
      <c r="M7" s="276"/>
      <c r="N7" s="277"/>
      <c r="O7" s="192"/>
    </row>
    <row r="8" spans="1:15" x14ac:dyDescent="0.3">
      <c r="A8" s="723"/>
      <c r="B8" s="725" t="s">
        <v>48</v>
      </c>
      <c r="C8" s="17" t="s">
        <v>75</v>
      </c>
      <c r="D8" s="17" t="s">
        <v>46</v>
      </c>
      <c r="E8" s="17" t="s">
        <v>46</v>
      </c>
      <c r="F8" s="51">
        <f>CalibrationDefaults!F8</f>
        <v>1</v>
      </c>
      <c r="G8" s="677"/>
      <c r="H8" s="677"/>
      <c r="I8" s="682">
        <f t="shared" si="0"/>
        <v>1</v>
      </c>
      <c r="J8" s="682"/>
      <c r="K8" s="2"/>
      <c r="L8" s="2"/>
      <c r="M8" s="2"/>
      <c r="N8" s="2"/>
      <c r="O8" s="192"/>
    </row>
    <row r="9" spans="1:15" x14ac:dyDescent="0.3">
      <c r="A9" s="723"/>
      <c r="B9" s="726"/>
      <c r="C9" s="17" t="s">
        <v>76</v>
      </c>
      <c r="D9" s="17" t="s">
        <v>46</v>
      </c>
      <c r="E9" s="17" t="s">
        <v>46</v>
      </c>
      <c r="F9" s="51">
        <f>CalibrationDefaults!F9</f>
        <v>1</v>
      </c>
      <c r="G9" s="677"/>
      <c r="H9" s="677"/>
      <c r="I9" s="682">
        <f t="shared" si="0"/>
        <v>1</v>
      </c>
      <c r="J9" s="682"/>
      <c r="K9" s="2"/>
      <c r="L9" s="2"/>
      <c r="M9" s="2"/>
      <c r="N9" s="2"/>
      <c r="O9" s="192"/>
    </row>
    <row r="10" spans="1:15" x14ac:dyDescent="0.3">
      <c r="A10" s="723"/>
      <c r="B10" s="725" t="s">
        <v>49</v>
      </c>
      <c r="C10" s="17" t="s">
        <v>75</v>
      </c>
      <c r="D10" s="17" t="s">
        <v>50</v>
      </c>
      <c r="E10" s="17" t="s">
        <v>51</v>
      </c>
      <c r="F10" s="51">
        <f>CalibrationDefaults!F10</f>
        <v>1</v>
      </c>
      <c r="G10" s="677"/>
      <c r="H10" s="677"/>
      <c r="I10" s="682">
        <f t="shared" si="0"/>
        <v>1</v>
      </c>
      <c r="J10" s="682"/>
      <c r="K10" s="2"/>
      <c r="L10" s="2"/>
      <c r="M10" s="2"/>
      <c r="N10" s="2"/>
      <c r="O10" s="192"/>
    </row>
    <row r="11" spans="1:15" x14ac:dyDescent="0.3">
      <c r="A11" s="723"/>
      <c r="B11" s="726"/>
      <c r="C11" s="17" t="s">
        <v>76</v>
      </c>
      <c r="D11" s="17" t="s">
        <v>50</v>
      </c>
      <c r="E11" s="17" t="s">
        <v>51</v>
      </c>
      <c r="F11" s="51">
        <f>CalibrationDefaults!F11</f>
        <v>1</v>
      </c>
      <c r="G11" s="677"/>
      <c r="H11" s="677"/>
      <c r="I11" s="682">
        <f t="shared" si="0"/>
        <v>1</v>
      </c>
      <c r="J11" s="682"/>
      <c r="K11" s="2"/>
      <c r="L11" s="2"/>
      <c r="M11" s="2"/>
      <c r="N11" s="2"/>
      <c r="O11" s="192"/>
    </row>
    <row r="12" spans="1:15" hidden="1" x14ac:dyDescent="0.3">
      <c r="A12" s="723"/>
      <c r="B12" s="726"/>
      <c r="C12" s="18" t="s">
        <v>75</v>
      </c>
      <c r="D12" s="18" t="s">
        <v>50</v>
      </c>
      <c r="E12" s="18" t="s">
        <v>52</v>
      </c>
      <c r="F12" s="51">
        <f>CalibrationDefaults!F12</f>
        <v>1</v>
      </c>
      <c r="G12" s="677"/>
      <c r="H12" s="677"/>
      <c r="I12" s="682">
        <f t="shared" si="0"/>
        <v>1</v>
      </c>
      <c r="J12" s="682"/>
      <c r="K12" s="2"/>
      <c r="L12" s="2"/>
      <c r="M12" s="2"/>
      <c r="N12" s="2"/>
      <c r="O12" s="192"/>
    </row>
    <row r="13" spans="1:15" hidden="1" x14ac:dyDescent="0.3">
      <c r="A13" s="723"/>
      <c r="B13" s="726"/>
      <c r="C13" s="18" t="s">
        <v>76</v>
      </c>
      <c r="D13" s="18" t="s">
        <v>50</v>
      </c>
      <c r="E13" s="18" t="s">
        <v>52</v>
      </c>
      <c r="F13" s="51">
        <f>CalibrationDefaults!F13</f>
        <v>1</v>
      </c>
      <c r="G13" s="677"/>
      <c r="H13" s="677"/>
      <c r="I13" s="682">
        <f t="shared" si="0"/>
        <v>1</v>
      </c>
      <c r="J13" s="682"/>
      <c r="K13" s="2"/>
      <c r="L13" s="2"/>
      <c r="M13" s="2"/>
      <c r="N13" s="2"/>
      <c r="O13" s="192"/>
    </row>
    <row r="14" spans="1:15" hidden="1" x14ac:dyDescent="0.3">
      <c r="A14" s="723"/>
      <c r="B14" s="726"/>
      <c r="C14" s="18" t="s">
        <v>75</v>
      </c>
      <c r="D14" s="18" t="s">
        <v>53</v>
      </c>
      <c r="E14" s="18" t="s">
        <v>46</v>
      </c>
      <c r="F14" s="51">
        <f>CalibrationDefaults!F14</f>
        <v>1</v>
      </c>
      <c r="G14" s="677"/>
      <c r="H14" s="677"/>
      <c r="I14" s="682">
        <f t="shared" si="0"/>
        <v>1</v>
      </c>
      <c r="J14" s="682"/>
      <c r="K14" s="2"/>
      <c r="L14" s="2"/>
      <c r="M14" s="2"/>
      <c r="N14" s="2"/>
      <c r="O14" s="192"/>
    </row>
    <row r="15" spans="1:15" hidden="1" x14ac:dyDescent="0.3">
      <c r="A15" s="723"/>
      <c r="B15" s="726"/>
      <c r="C15" s="18" t="s">
        <v>76</v>
      </c>
      <c r="D15" s="18" t="s">
        <v>53</v>
      </c>
      <c r="E15" s="18" t="s">
        <v>46</v>
      </c>
      <c r="F15" s="51">
        <f>CalibrationDefaults!F15</f>
        <v>1</v>
      </c>
      <c r="G15" s="677"/>
      <c r="H15" s="677"/>
      <c r="I15" s="682">
        <f t="shared" si="0"/>
        <v>1</v>
      </c>
      <c r="J15" s="682"/>
      <c r="K15" s="2"/>
      <c r="L15" s="2"/>
      <c r="M15" s="2"/>
      <c r="N15" s="2"/>
      <c r="O15" s="192"/>
    </row>
    <row r="16" spans="1:15" hidden="1" x14ac:dyDescent="0.3">
      <c r="A16" s="723"/>
      <c r="B16" s="726"/>
      <c r="C16" s="18" t="s">
        <v>75</v>
      </c>
      <c r="D16" s="18" t="s">
        <v>54</v>
      </c>
      <c r="E16" s="18" t="s">
        <v>46</v>
      </c>
      <c r="F16" s="51">
        <f>CalibrationDefaults!F16</f>
        <v>1</v>
      </c>
      <c r="G16" s="677"/>
      <c r="H16" s="677"/>
      <c r="I16" s="682">
        <f t="shared" si="0"/>
        <v>1</v>
      </c>
      <c r="J16" s="682"/>
      <c r="K16" s="2"/>
      <c r="L16" s="2"/>
      <c r="M16" s="2"/>
      <c r="N16" s="2"/>
      <c r="O16" s="192"/>
    </row>
    <row r="17" spans="1:15" hidden="1" x14ac:dyDescent="0.3">
      <c r="A17" s="723"/>
      <c r="B17" s="726"/>
      <c r="C17" s="18" t="s">
        <v>76</v>
      </c>
      <c r="D17" s="18" t="s">
        <v>54</v>
      </c>
      <c r="E17" s="18" t="s">
        <v>46</v>
      </c>
      <c r="F17" s="51">
        <f>CalibrationDefaults!F17</f>
        <v>1</v>
      </c>
      <c r="G17" s="677"/>
      <c r="H17" s="677"/>
      <c r="I17" s="682">
        <f t="shared" si="0"/>
        <v>1</v>
      </c>
      <c r="J17" s="682"/>
      <c r="K17" s="2"/>
      <c r="L17" s="2"/>
      <c r="M17" s="2"/>
      <c r="N17" s="2"/>
      <c r="O17" s="192"/>
    </row>
    <row r="18" spans="1:15" hidden="1" x14ac:dyDescent="0.3">
      <c r="A18" s="723"/>
      <c r="B18" s="727" t="s">
        <v>475</v>
      </c>
      <c r="C18" s="17" t="s">
        <v>75</v>
      </c>
      <c r="D18" s="17" t="s">
        <v>46</v>
      </c>
      <c r="E18" s="17" t="s">
        <v>46</v>
      </c>
      <c r="F18" s="51">
        <f>CalibrationDefaults!F18</f>
        <v>1</v>
      </c>
      <c r="G18" s="677"/>
      <c r="H18" s="677"/>
      <c r="I18" s="682">
        <f t="shared" si="0"/>
        <v>1</v>
      </c>
      <c r="J18" s="682"/>
      <c r="K18" s="2"/>
      <c r="L18" s="2"/>
      <c r="M18" s="2"/>
      <c r="N18" s="2"/>
      <c r="O18" s="192"/>
    </row>
    <row r="19" spans="1:15" hidden="1" x14ac:dyDescent="0.3">
      <c r="A19" s="724"/>
      <c r="B19" s="728"/>
      <c r="C19" s="17" t="s">
        <v>76</v>
      </c>
      <c r="D19" s="17" t="s">
        <v>46</v>
      </c>
      <c r="E19" s="17" t="s">
        <v>46</v>
      </c>
      <c r="F19" s="51">
        <f>CalibrationDefaults!F19</f>
        <v>1</v>
      </c>
      <c r="G19" s="677"/>
      <c r="H19" s="677"/>
      <c r="I19" s="682">
        <f t="shared" si="0"/>
        <v>1</v>
      </c>
      <c r="J19" s="682"/>
      <c r="K19" s="2"/>
      <c r="L19" s="2"/>
      <c r="M19" s="2"/>
      <c r="N19" s="2"/>
      <c r="O19" s="192"/>
    </row>
    <row r="20" spans="1:15" x14ac:dyDescent="0.3">
      <c r="A20" s="714" t="s">
        <v>56</v>
      </c>
      <c r="B20" s="725" t="s">
        <v>474</v>
      </c>
      <c r="C20" s="17" t="s">
        <v>75</v>
      </c>
      <c r="D20" s="17" t="s">
        <v>46</v>
      </c>
      <c r="E20" s="17" t="s">
        <v>46</v>
      </c>
      <c r="F20" s="51">
        <f>CalibrationDefaults!F20</f>
        <v>1</v>
      </c>
      <c r="G20" s="677"/>
      <c r="H20" s="677"/>
      <c r="I20" s="682">
        <f t="shared" si="0"/>
        <v>1</v>
      </c>
      <c r="J20" s="682"/>
      <c r="K20" s="2"/>
      <c r="L20" s="2"/>
      <c r="M20" s="2"/>
      <c r="N20" s="2"/>
      <c r="O20" s="192"/>
    </row>
    <row r="21" spans="1:15" x14ac:dyDescent="0.3">
      <c r="A21" s="733"/>
      <c r="B21" s="726"/>
      <c r="C21" s="17" t="s">
        <v>76</v>
      </c>
      <c r="D21" s="17" t="s">
        <v>46</v>
      </c>
      <c r="E21" s="17" t="s">
        <v>46</v>
      </c>
      <c r="F21" s="51">
        <f>CalibrationDefaults!F21</f>
        <v>1</v>
      </c>
      <c r="G21" s="677"/>
      <c r="H21" s="677"/>
      <c r="I21" s="682">
        <f t="shared" si="0"/>
        <v>1</v>
      </c>
      <c r="J21" s="682"/>
      <c r="K21" s="2"/>
      <c r="L21" s="2"/>
      <c r="M21" s="2"/>
      <c r="N21" s="2"/>
      <c r="O21" s="192"/>
    </row>
    <row r="22" spans="1:15" x14ac:dyDescent="0.3">
      <c r="A22" s="733"/>
      <c r="B22" s="725" t="s">
        <v>48</v>
      </c>
      <c r="C22" s="17" t="s">
        <v>75</v>
      </c>
      <c r="D22" s="17" t="s">
        <v>46</v>
      </c>
      <c r="E22" s="17" t="s">
        <v>46</v>
      </c>
      <c r="F22" s="51">
        <f>CalibrationDefaults!F22</f>
        <v>1</v>
      </c>
      <c r="G22" s="677"/>
      <c r="H22" s="677"/>
      <c r="I22" s="682">
        <f t="shared" si="0"/>
        <v>1</v>
      </c>
      <c r="J22" s="682"/>
      <c r="K22" s="2"/>
      <c r="L22" s="2"/>
      <c r="M22" s="2"/>
      <c r="N22" s="2"/>
      <c r="O22" s="192"/>
    </row>
    <row r="23" spans="1:15" x14ac:dyDescent="0.3">
      <c r="A23" s="733"/>
      <c r="B23" s="729"/>
      <c r="C23" s="17" t="s">
        <v>76</v>
      </c>
      <c r="D23" s="17" t="s">
        <v>46</v>
      </c>
      <c r="E23" s="17" t="s">
        <v>46</v>
      </c>
      <c r="F23" s="51">
        <f>CalibrationDefaults!F23</f>
        <v>1</v>
      </c>
      <c r="G23" s="677"/>
      <c r="H23" s="677"/>
      <c r="I23" s="682">
        <f t="shared" si="0"/>
        <v>1</v>
      </c>
      <c r="J23" s="682"/>
      <c r="K23" s="2"/>
      <c r="L23" s="2"/>
      <c r="M23" s="2"/>
      <c r="N23" s="2"/>
      <c r="O23" s="192"/>
    </row>
    <row r="24" spans="1:15" x14ac:dyDescent="0.3">
      <c r="A24" s="733"/>
      <c r="B24" s="725" t="s">
        <v>49</v>
      </c>
      <c r="C24" s="17" t="s">
        <v>75</v>
      </c>
      <c r="D24" s="17" t="s">
        <v>50</v>
      </c>
      <c r="E24" s="17" t="s">
        <v>51</v>
      </c>
      <c r="F24" s="51">
        <f>CalibrationDefaults!F24</f>
        <v>1</v>
      </c>
      <c r="G24" s="677"/>
      <c r="H24" s="677"/>
      <c r="I24" s="682">
        <f t="shared" si="0"/>
        <v>1</v>
      </c>
      <c r="J24" s="682"/>
      <c r="K24" s="2"/>
      <c r="L24" s="2"/>
      <c r="M24" s="2"/>
      <c r="N24" s="2"/>
      <c r="O24" s="192"/>
    </row>
    <row r="25" spans="1:15" x14ac:dyDescent="0.3">
      <c r="A25" s="733"/>
      <c r="B25" s="726"/>
      <c r="C25" s="17" t="s">
        <v>76</v>
      </c>
      <c r="D25" s="17" t="s">
        <v>50</v>
      </c>
      <c r="E25" s="17" t="s">
        <v>51</v>
      </c>
      <c r="F25" s="51">
        <f>CalibrationDefaults!F25</f>
        <v>1</v>
      </c>
      <c r="G25" s="677"/>
      <c r="H25" s="677"/>
      <c r="I25" s="682">
        <f t="shared" si="0"/>
        <v>1</v>
      </c>
      <c r="J25" s="682"/>
      <c r="K25" s="2"/>
      <c r="L25" s="2"/>
      <c r="M25" s="2"/>
      <c r="N25" s="2"/>
      <c r="O25" s="192"/>
    </row>
    <row r="26" spans="1:15" hidden="1" x14ac:dyDescent="0.3">
      <c r="A26" s="733"/>
      <c r="B26" s="726"/>
      <c r="C26" s="18" t="s">
        <v>75</v>
      </c>
      <c r="D26" s="18" t="s">
        <v>50</v>
      </c>
      <c r="E26" s="18" t="s">
        <v>52</v>
      </c>
      <c r="F26" s="51">
        <f>CalibrationDefaults!F26</f>
        <v>1</v>
      </c>
      <c r="G26" s="677"/>
      <c r="H26" s="677"/>
      <c r="I26" s="682">
        <f t="shared" si="0"/>
        <v>1</v>
      </c>
      <c r="J26" s="682"/>
      <c r="K26" s="2"/>
      <c r="L26" s="2"/>
      <c r="M26" s="2"/>
      <c r="N26" s="2"/>
      <c r="O26" s="192"/>
    </row>
    <row r="27" spans="1:15" hidden="1" x14ac:dyDescent="0.3">
      <c r="A27" s="733"/>
      <c r="B27" s="726"/>
      <c r="C27" s="18" t="s">
        <v>76</v>
      </c>
      <c r="D27" s="18" t="s">
        <v>50</v>
      </c>
      <c r="E27" s="18" t="s">
        <v>52</v>
      </c>
      <c r="F27" s="51">
        <f>CalibrationDefaults!F27</f>
        <v>1</v>
      </c>
      <c r="G27" s="677"/>
      <c r="H27" s="677"/>
      <c r="I27" s="682">
        <f t="shared" si="0"/>
        <v>1</v>
      </c>
      <c r="J27" s="682"/>
      <c r="K27" s="2"/>
      <c r="L27" s="2"/>
      <c r="M27" s="2"/>
      <c r="N27" s="2"/>
      <c r="O27" s="192"/>
    </row>
    <row r="28" spans="1:15" hidden="1" x14ac:dyDescent="0.3">
      <c r="A28" s="733"/>
      <c r="B28" s="726"/>
      <c r="C28" s="18" t="s">
        <v>75</v>
      </c>
      <c r="D28" s="18" t="s">
        <v>53</v>
      </c>
      <c r="E28" s="18" t="s">
        <v>46</v>
      </c>
      <c r="F28" s="51">
        <f>CalibrationDefaults!F28</f>
        <v>1</v>
      </c>
      <c r="G28" s="677"/>
      <c r="H28" s="677"/>
      <c r="I28" s="682">
        <f t="shared" si="0"/>
        <v>1</v>
      </c>
      <c r="J28" s="682"/>
      <c r="K28" s="2"/>
      <c r="L28" s="2"/>
      <c r="M28" s="2"/>
      <c r="N28" s="2"/>
      <c r="O28" s="192"/>
    </row>
    <row r="29" spans="1:15" hidden="1" x14ac:dyDescent="0.3">
      <c r="A29" s="733"/>
      <c r="B29" s="726"/>
      <c r="C29" s="18" t="s">
        <v>76</v>
      </c>
      <c r="D29" s="18" t="s">
        <v>53</v>
      </c>
      <c r="E29" s="18" t="s">
        <v>46</v>
      </c>
      <c r="F29" s="51">
        <f>CalibrationDefaults!F29</f>
        <v>1</v>
      </c>
      <c r="G29" s="677"/>
      <c r="H29" s="677"/>
      <c r="I29" s="682">
        <f t="shared" si="0"/>
        <v>1</v>
      </c>
      <c r="J29" s="682"/>
      <c r="K29" s="2"/>
      <c r="L29" s="2"/>
      <c r="M29" s="2"/>
      <c r="N29" s="2"/>
      <c r="O29" s="192"/>
    </row>
    <row r="30" spans="1:15" hidden="1" x14ac:dyDescent="0.3">
      <c r="A30" s="733"/>
      <c r="B30" s="726"/>
      <c r="C30" s="18" t="s">
        <v>75</v>
      </c>
      <c r="D30" s="18" t="s">
        <v>54</v>
      </c>
      <c r="E30" s="18" t="s">
        <v>46</v>
      </c>
      <c r="F30" s="51">
        <f>CalibrationDefaults!F30</f>
        <v>1</v>
      </c>
      <c r="G30" s="677"/>
      <c r="H30" s="677"/>
      <c r="I30" s="682">
        <f t="shared" si="0"/>
        <v>1</v>
      </c>
      <c r="J30" s="682"/>
      <c r="K30" s="2"/>
      <c r="L30" s="2"/>
      <c r="M30" s="2"/>
      <c r="N30" s="2"/>
      <c r="O30" s="192"/>
    </row>
    <row r="31" spans="1:15" hidden="1" x14ac:dyDescent="0.3">
      <c r="A31" s="733"/>
      <c r="B31" s="729"/>
      <c r="C31" s="18" t="s">
        <v>76</v>
      </c>
      <c r="D31" s="18" t="s">
        <v>54</v>
      </c>
      <c r="E31" s="18" t="s">
        <v>46</v>
      </c>
      <c r="F31" s="51">
        <f>CalibrationDefaults!F31</f>
        <v>1</v>
      </c>
      <c r="G31" s="677"/>
      <c r="H31" s="677"/>
      <c r="I31" s="682">
        <f t="shared" si="0"/>
        <v>1</v>
      </c>
      <c r="J31" s="682"/>
      <c r="K31" s="2"/>
      <c r="L31" s="2"/>
      <c r="M31" s="2"/>
      <c r="N31" s="2"/>
      <c r="O31" s="192"/>
    </row>
    <row r="32" spans="1:15" hidden="1" x14ac:dyDescent="0.3">
      <c r="A32" s="733"/>
      <c r="B32" s="727" t="s">
        <v>475</v>
      </c>
      <c r="C32" s="18" t="s">
        <v>75</v>
      </c>
      <c r="D32" s="18" t="s">
        <v>46</v>
      </c>
      <c r="E32" s="18" t="s">
        <v>46</v>
      </c>
      <c r="F32" s="51">
        <f>CalibrationDefaults!F32</f>
        <v>1</v>
      </c>
      <c r="G32" s="677"/>
      <c r="H32" s="677"/>
      <c r="I32" s="682">
        <f t="shared" si="0"/>
        <v>1</v>
      </c>
      <c r="J32" s="682"/>
      <c r="K32" s="2"/>
      <c r="L32" s="2"/>
      <c r="M32" s="2"/>
      <c r="N32" s="2"/>
      <c r="O32" s="192"/>
    </row>
    <row r="33" spans="1:15" hidden="1" x14ac:dyDescent="0.3">
      <c r="A33" s="715"/>
      <c r="B33" s="728"/>
      <c r="C33" s="18" t="s">
        <v>76</v>
      </c>
      <c r="D33" s="18" t="s">
        <v>46</v>
      </c>
      <c r="E33" s="18" t="s">
        <v>46</v>
      </c>
      <c r="F33" s="51">
        <f>CalibrationDefaults!F33</f>
        <v>1</v>
      </c>
      <c r="G33" s="677"/>
      <c r="H33" s="677"/>
      <c r="I33" s="682">
        <f t="shared" si="0"/>
        <v>1</v>
      </c>
      <c r="J33" s="682"/>
      <c r="K33" s="2"/>
      <c r="L33" s="2"/>
      <c r="M33" s="2"/>
      <c r="N33" s="2"/>
      <c r="O33" s="192"/>
    </row>
    <row r="34" spans="1:15" hidden="1" x14ac:dyDescent="0.3">
      <c r="A34" s="714" t="s">
        <v>57</v>
      </c>
      <c r="B34" s="725" t="s">
        <v>474</v>
      </c>
      <c r="C34" s="18" t="s">
        <v>75</v>
      </c>
      <c r="D34" s="18" t="s">
        <v>46</v>
      </c>
      <c r="E34" s="18" t="s">
        <v>46</v>
      </c>
      <c r="F34" s="51">
        <f>CalibrationDefaults!F34</f>
        <v>1</v>
      </c>
      <c r="G34" s="677"/>
      <c r="H34" s="677"/>
      <c r="I34" s="682">
        <f t="shared" si="0"/>
        <v>1</v>
      </c>
      <c r="J34" s="682"/>
      <c r="K34" s="2"/>
      <c r="L34" s="2"/>
      <c r="M34" s="2"/>
      <c r="N34" s="2"/>
      <c r="O34" s="192"/>
    </row>
    <row r="35" spans="1:15" hidden="1" x14ac:dyDescent="0.3">
      <c r="A35" s="733"/>
      <c r="B35" s="729"/>
      <c r="C35" s="18" t="s">
        <v>76</v>
      </c>
      <c r="D35" s="18" t="s">
        <v>46</v>
      </c>
      <c r="E35" s="18" t="s">
        <v>46</v>
      </c>
      <c r="F35" s="51">
        <f>CalibrationDefaults!F35</f>
        <v>1</v>
      </c>
      <c r="G35" s="677"/>
      <c r="H35" s="677"/>
      <c r="I35" s="682">
        <f t="shared" si="0"/>
        <v>1</v>
      </c>
      <c r="J35" s="682"/>
      <c r="K35" s="2"/>
      <c r="L35" s="2"/>
      <c r="M35" s="2"/>
      <c r="N35" s="2"/>
      <c r="O35" s="192"/>
    </row>
    <row r="36" spans="1:15" hidden="1" x14ac:dyDescent="0.3">
      <c r="A36" s="733"/>
      <c r="B36" s="725" t="s">
        <v>48</v>
      </c>
      <c r="C36" s="18" t="s">
        <v>75</v>
      </c>
      <c r="D36" s="18" t="s">
        <v>46</v>
      </c>
      <c r="E36" s="18" t="s">
        <v>46</v>
      </c>
      <c r="F36" s="51">
        <f>CalibrationDefaults!F36</f>
        <v>1</v>
      </c>
      <c r="G36" s="677"/>
      <c r="H36" s="677"/>
      <c r="I36" s="682">
        <f t="shared" si="0"/>
        <v>1</v>
      </c>
      <c r="J36" s="682"/>
      <c r="K36" s="2"/>
      <c r="L36" s="2"/>
      <c r="M36" s="2"/>
      <c r="N36" s="2"/>
      <c r="O36" s="192"/>
    </row>
    <row r="37" spans="1:15" hidden="1" x14ac:dyDescent="0.3">
      <c r="A37" s="733"/>
      <c r="B37" s="726"/>
      <c r="C37" s="18" t="s">
        <v>76</v>
      </c>
      <c r="D37" s="18" t="s">
        <v>46</v>
      </c>
      <c r="E37" s="18" t="s">
        <v>46</v>
      </c>
      <c r="F37" s="51">
        <f>CalibrationDefaults!F37</f>
        <v>1</v>
      </c>
      <c r="G37" s="677"/>
      <c r="H37" s="677"/>
      <c r="I37" s="682">
        <f t="shared" si="0"/>
        <v>1</v>
      </c>
      <c r="J37" s="682"/>
      <c r="K37" s="2"/>
      <c r="L37" s="2"/>
      <c r="M37" s="2"/>
      <c r="N37" s="2"/>
      <c r="O37" s="192"/>
    </row>
    <row r="38" spans="1:15" hidden="1" x14ac:dyDescent="0.3">
      <c r="A38" s="733"/>
      <c r="B38" s="725" t="s">
        <v>49</v>
      </c>
      <c r="C38" s="18" t="s">
        <v>75</v>
      </c>
      <c r="D38" s="18" t="s">
        <v>46</v>
      </c>
      <c r="E38" s="18" t="s">
        <v>46</v>
      </c>
      <c r="F38" s="51">
        <f>CalibrationDefaults!F38</f>
        <v>1</v>
      </c>
      <c r="G38" s="677"/>
      <c r="H38" s="677"/>
      <c r="I38" s="682">
        <f t="shared" si="0"/>
        <v>1</v>
      </c>
      <c r="J38" s="682"/>
      <c r="K38" s="2"/>
      <c r="L38" s="2"/>
      <c r="M38" s="2"/>
      <c r="N38" s="2"/>
      <c r="O38" s="192"/>
    </row>
    <row r="39" spans="1:15" hidden="1" x14ac:dyDescent="0.3">
      <c r="A39" s="715"/>
      <c r="B39" s="729"/>
      <c r="C39" s="18" t="s">
        <v>76</v>
      </c>
      <c r="D39" s="18" t="s">
        <v>46</v>
      </c>
      <c r="E39" s="18" t="s">
        <v>46</v>
      </c>
      <c r="F39" s="51">
        <f>CalibrationDefaults!F39</f>
        <v>1</v>
      </c>
      <c r="G39" s="677"/>
      <c r="H39" s="677"/>
      <c r="I39" s="682">
        <f t="shared" si="0"/>
        <v>1</v>
      </c>
      <c r="J39" s="682"/>
      <c r="K39" s="2"/>
      <c r="L39" s="2"/>
      <c r="M39" s="2"/>
      <c r="N39" s="2"/>
      <c r="O39" s="192"/>
    </row>
    <row r="40" spans="1:15" hidden="1" x14ac:dyDescent="0.3">
      <c r="A40" s="714" t="s">
        <v>30</v>
      </c>
      <c r="B40" s="725" t="s">
        <v>58</v>
      </c>
      <c r="C40" s="18" t="s">
        <v>75</v>
      </c>
      <c r="D40" s="18" t="s">
        <v>46</v>
      </c>
      <c r="E40" s="18" t="s">
        <v>46</v>
      </c>
      <c r="F40" s="51">
        <f>CalibrationDefaults!F40</f>
        <v>1</v>
      </c>
      <c r="G40" s="677"/>
      <c r="H40" s="677"/>
      <c r="I40" s="682">
        <f t="shared" si="0"/>
        <v>1</v>
      </c>
      <c r="J40" s="682"/>
      <c r="K40" s="2"/>
      <c r="L40" s="2"/>
      <c r="M40" s="2"/>
      <c r="N40" s="2"/>
      <c r="O40" s="192"/>
    </row>
    <row r="41" spans="1:15" hidden="1" x14ac:dyDescent="0.3">
      <c r="A41" s="733"/>
      <c r="B41" s="729"/>
      <c r="C41" s="18" t="s">
        <v>76</v>
      </c>
      <c r="D41" s="18" t="s">
        <v>46</v>
      </c>
      <c r="E41" s="18" t="s">
        <v>46</v>
      </c>
      <c r="F41" s="51">
        <f>CalibrationDefaults!F41</f>
        <v>1</v>
      </c>
      <c r="G41" s="677"/>
      <c r="H41" s="677"/>
      <c r="I41" s="682">
        <f t="shared" si="0"/>
        <v>1</v>
      </c>
      <c r="J41" s="682"/>
      <c r="K41" s="2"/>
      <c r="L41" s="2"/>
      <c r="M41" s="2"/>
      <c r="N41" s="2"/>
      <c r="O41" s="192"/>
    </row>
    <row r="42" spans="1:15" hidden="1" x14ac:dyDescent="0.3">
      <c r="A42" s="733"/>
      <c r="B42" s="725" t="s">
        <v>59</v>
      </c>
      <c r="C42" s="18" t="s">
        <v>75</v>
      </c>
      <c r="D42" s="18" t="s">
        <v>46</v>
      </c>
      <c r="E42" s="18" t="s">
        <v>46</v>
      </c>
      <c r="F42" s="51">
        <f>CalibrationDefaults!F42</f>
        <v>1</v>
      </c>
      <c r="G42" s="677"/>
      <c r="H42" s="677"/>
      <c r="I42" s="682">
        <f t="shared" si="0"/>
        <v>1</v>
      </c>
      <c r="J42" s="682"/>
      <c r="K42" s="2"/>
      <c r="L42" s="2"/>
      <c r="M42" s="2"/>
      <c r="N42" s="2"/>
      <c r="O42" s="192"/>
    </row>
    <row r="43" spans="1:15" hidden="1" x14ac:dyDescent="0.3">
      <c r="A43" s="715"/>
      <c r="B43" s="729"/>
      <c r="C43" s="18" t="s">
        <v>76</v>
      </c>
      <c r="D43" s="18" t="s">
        <v>46</v>
      </c>
      <c r="E43" s="18" t="s">
        <v>46</v>
      </c>
      <c r="F43" s="51">
        <f>CalibrationDefaults!F43</f>
        <v>1</v>
      </c>
      <c r="G43" s="677"/>
      <c r="H43" s="677"/>
      <c r="I43" s="682">
        <f t="shared" si="0"/>
        <v>1</v>
      </c>
      <c r="J43" s="682"/>
      <c r="K43" s="2"/>
      <c r="L43" s="2"/>
      <c r="M43" s="2"/>
      <c r="N43" s="2"/>
      <c r="O43" s="192"/>
    </row>
    <row r="44" spans="1:15" x14ac:dyDescent="0.3">
      <c r="A44" s="730" t="s">
        <v>476</v>
      </c>
      <c r="B44" s="731"/>
      <c r="C44" s="731"/>
      <c r="D44" s="731"/>
      <c r="E44" s="731"/>
      <c r="F44" s="731"/>
      <c r="G44" s="731"/>
      <c r="H44" s="731"/>
      <c r="I44" s="731"/>
      <c r="J44" s="732"/>
      <c r="K44" s="2"/>
      <c r="L44" s="2"/>
      <c r="M44" s="2"/>
      <c r="N44" s="2"/>
      <c r="O44" s="192"/>
    </row>
    <row r="45" spans="1:15" x14ac:dyDescent="0.3">
      <c r="A45" s="721" t="s">
        <v>35</v>
      </c>
      <c r="B45" s="720" t="s">
        <v>63</v>
      </c>
      <c r="C45" s="720"/>
      <c r="D45" s="720"/>
      <c r="E45" s="720"/>
      <c r="F45" s="720" t="s">
        <v>103</v>
      </c>
      <c r="G45" s="686" t="s">
        <v>171</v>
      </c>
      <c r="H45" s="687"/>
      <c r="I45" s="686" t="s">
        <v>172</v>
      </c>
      <c r="J45" s="687"/>
      <c r="K45" s="2"/>
      <c r="L45" s="2"/>
      <c r="M45" s="2"/>
      <c r="N45" s="2"/>
      <c r="O45" s="192"/>
    </row>
    <row r="46" spans="1:15" ht="30" customHeight="1" x14ac:dyDescent="0.3">
      <c r="A46" s="721"/>
      <c r="B46" s="720"/>
      <c r="C46" s="720"/>
      <c r="D46" s="720"/>
      <c r="E46" s="720"/>
      <c r="F46" s="720"/>
      <c r="G46" s="688"/>
      <c r="H46" s="689"/>
      <c r="I46" s="688"/>
      <c r="J46" s="689"/>
      <c r="K46" s="2"/>
      <c r="L46" s="2"/>
      <c r="M46" s="2"/>
      <c r="N46" s="2"/>
      <c r="O46" s="192"/>
    </row>
    <row r="47" spans="1:15" x14ac:dyDescent="0.3">
      <c r="A47" s="331" t="s">
        <v>18</v>
      </c>
      <c r="B47" s="712" t="s">
        <v>21</v>
      </c>
      <c r="C47" s="712"/>
      <c r="D47" s="712"/>
      <c r="E47" s="712"/>
      <c r="F47" s="33">
        <v>1</v>
      </c>
      <c r="G47" s="679"/>
      <c r="H47" s="679"/>
      <c r="I47" s="678">
        <f>IF(ISNUMBER(G47),G47,F47)</f>
        <v>1</v>
      </c>
      <c r="J47" s="678"/>
      <c r="K47" s="2"/>
      <c r="L47" s="2"/>
      <c r="M47" s="2"/>
      <c r="N47" s="2"/>
      <c r="O47" s="192"/>
    </row>
    <row r="48" spans="1:15" ht="27.6" hidden="1" x14ac:dyDescent="0.3">
      <c r="A48" s="332" t="s">
        <v>26</v>
      </c>
      <c r="B48" s="713" t="s">
        <v>27</v>
      </c>
      <c r="C48" s="713"/>
      <c r="D48" s="713"/>
      <c r="E48" s="713"/>
      <c r="F48" s="325">
        <v>1</v>
      </c>
      <c r="G48" s="680"/>
      <c r="H48" s="680"/>
      <c r="I48" s="681">
        <f t="shared" ref="I48:I52" si="1">IF(ISNUMBER(G48),G48,F48)</f>
        <v>1</v>
      </c>
      <c r="J48" s="681"/>
      <c r="K48" s="2"/>
      <c r="L48" s="2"/>
      <c r="M48" s="2"/>
      <c r="N48" s="2"/>
      <c r="O48" s="192"/>
    </row>
    <row r="49" spans="1:15" x14ac:dyDescent="0.3">
      <c r="A49" s="332" t="s">
        <v>28</v>
      </c>
      <c r="B49" s="712" t="s">
        <v>27</v>
      </c>
      <c r="C49" s="712"/>
      <c r="D49" s="712"/>
      <c r="E49" s="712"/>
      <c r="F49" s="33">
        <v>1</v>
      </c>
      <c r="G49" s="677"/>
      <c r="H49" s="677"/>
      <c r="I49" s="678">
        <f t="shared" si="1"/>
        <v>1</v>
      </c>
      <c r="J49" s="678"/>
      <c r="K49" s="2"/>
      <c r="L49" s="2"/>
      <c r="M49" s="2"/>
      <c r="N49" s="2"/>
      <c r="O49" s="192"/>
    </row>
    <row r="50" spans="1:15" x14ac:dyDescent="0.3">
      <c r="A50" s="331" t="s">
        <v>112</v>
      </c>
      <c r="B50" s="712" t="s">
        <v>21</v>
      </c>
      <c r="C50" s="712"/>
      <c r="D50" s="712"/>
      <c r="E50" s="712"/>
      <c r="F50" s="33">
        <v>1</v>
      </c>
      <c r="G50" s="677"/>
      <c r="H50" s="677"/>
      <c r="I50" s="678">
        <f>IF(ISNUMBER(G50),G50,F50)</f>
        <v>1</v>
      </c>
      <c r="J50" s="678"/>
      <c r="K50" s="2"/>
      <c r="L50" s="2"/>
      <c r="M50" s="2"/>
      <c r="N50" s="2"/>
      <c r="O50" s="192"/>
    </row>
    <row r="51" spans="1:15" hidden="1" x14ac:dyDescent="0.3">
      <c r="A51" s="714" t="s">
        <v>30</v>
      </c>
      <c r="B51" s="712" t="s">
        <v>32</v>
      </c>
      <c r="C51" s="712"/>
      <c r="D51" s="712"/>
      <c r="E51" s="712"/>
      <c r="F51" s="33">
        <v>1</v>
      </c>
      <c r="G51" s="677"/>
      <c r="H51" s="677"/>
      <c r="I51" s="678">
        <f t="shared" si="1"/>
        <v>1</v>
      </c>
      <c r="J51" s="678"/>
      <c r="K51" s="2"/>
      <c r="L51" s="2"/>
      <c r="M51" s="2"/>
      <c r="N51" s="2"/>
      <c r="O51" s="192"/>
    </row>
    <row r="52" spans="1:15" hidden="1" x14ac:dyDescent="0.3">
      <c r="A52" s="715"/>
      <c r="B52" s="712" t="s">
        <v>34</v>
      </c>
      <c r="C52" s="712"/>
      <c r="D52" s="712"/>
      <c r="E52" s="712"/>
      <c r="F52" s="33">
        <v>1</v>
      </c>
      <c r="G52" s="677"/>
      <c r="H52" s="677"/>
      <c r="I52" s="678">
        <f t="shared" si="1"/>
        <v>1</v>
      </c>
      <c r="J52" s="678"/>
      <c r="K52" s="2"/>
      <c r="L52" s="2"/>
      <c r="M52" s="2"/>
      <c r="N52" s="2"/>
      <c r="O52" s="192"/>
    </row>
    <row r="53" spans="1:15" ht="15" customHeight="1" x14ac:dyDescent="0.3">
      <c r="A53" s="717" t="s">
        <v>487</v>
      </c>
      <c r="B53" s="718"/>
      <c r="C53" s="718"/>
      <c r="D53" s="718"/>
      <c r="E53" s="718"/>
      <c r="F53" s="718"/>
      <c r="G53" s="718"/>
      <c r="H53" s="718"/>
      <c r="I53" s="718"/>
      <c r="J53" s="719"/>
      <c r="K53" s="2"/>
      <c r="L53" s="2"/>
      <c r="M53" s="2"/>
      <c r="N53" s="2"/>
      <c r="O53" s="192"/>
    </row>
    <row r="54" spans="1:15" ht="14.4" customHeight="1" x14ac:dyDescent="0.3">
      <c r="A54" s="694" t="s">
        <v>396</v>
      </c>
      <c r="B54" s="695"/>
      <c r="C54" s="695"/>
      <c r="D54" s="695"/>
      <c r="E54" s="695"/>
      <c r="F54" s="695"/>
      <c r="G54" s="695"/>
      <c r="H54" s="695"/>
      <c r="I54" s="695"/>
      <c r="J54" s="696"/>
      <c r="K54" s="2"/>
      <c r="L54" s="2"/>
      <c r="M54" s="2"/>
      <c r="N54" s="2"/>
      <c r="O54" s="192"/>
    </row>
    <row r="55" spans="1:15" ht="30.6" customHeight="1" x14ac:dyDescent="0.3">
      <c r="A55" s="709" t="s">
        <v>35</v>
      </c>
      <c r="B55" s="710"/>
      <c r="C55" s="716" t="s">
        <v>116</v>
      </c>
      <c r="D55" s="716"/>
      <c r="E55" s="716"/>
      <c r="F55" s="324" t="s">
        <v>170</v>
      </c>
      <c r="G55" s="742" t="s">
        <v>171</v>
      </c>
      <c r="H55" s="743"/>
      <c r="I55" s="742" t="s">
        <v>172</v>
      </c>
      <c r="J55" s="743"/>
      <c r="K55" s="2"/>
      <c r="L55" s="2"/>
      <c r="M55" s="2"/>
      <c r="N55" s="2"/>
      <c r="O55" s="192"/>
    </row>
    <row r="56" spans="1:15" s="6" customFormat="1" x14ac:dyDescent="0.3">
      <c r="A56" s="703" t="s">
        <v>466</v>
      </c>
      <c r="B56" s="704"/>
      <c r="C56" s="697" t="s">
        <v>117</v>
      </c>
      <c r="D56" s="697"/>
      <c r="E56" s="697"/>
      <c r="F56" s="31">
        <v>0.88</v>
      </c>
      <c r="G56" s="744"/>
      <c r="H56" s="745"/>
      <c r="I56" s="734">
        <f>IF(ISNUMBER(G56),G56,F56)</f>
        <v>0.88</v>
      </c>
      <c r="J56" s="735"/>
      <c r="K56" s="278"/>
      <c r="L56" s="278"/>
      <c r="M56" s="278"/>
      <c r="N56" s="278"/>
      <c r="O56" s="279"/>
    </row>
    <row r="57" spans="1:15" s="6" customFormat="1" x14ac:dyDescent="0.3">
      <c r="A57" s="707"/>
      <c r="B57" s="708"/>
      <c r="C57" s="698" t="s">
        <v>118</v>
      </c>
      <c r="D57" s="699"/>
      <c r="E57" s="700"/>
      <c r="F57" s="31">
        <v>0.88</v>
      </c>
      <c r="G57" s="711"/>
      <c r="H57" s="711"/>
      <c r="I57" s="734">
        <f t="shared" ref="I57:I67" si="2">IF(ISNUMBER(G57),G57,F57)</f>
        <v>0.88</v>
      </c>
      <c r="J57" s="735"/>
      <c r="K57" s="278"/>
      <c r="L57" s="278"/>
      <c r="M57" s="278"/>
      <c r="N57" s="278"/>
      <c r="O57" s="279"/>
    </row>
    <row r="58" spans="1:15" s="6" customFormat="1" x14ac:dyDescent="0.3">
      <c r="A58" s="703" t="s">
        <v>115</v>
      </c>
      <c r="B58" s="704"/>
      <c r="C58" s="697" t="s">
        <v>117</v>
      </c>
      <c r="D58" s="697"/>
      <c r="E58" s="697"/>
      <c r="F58" s="31">
        <v>0.85</v>
      </c>
      <c r="G58" s="711"/>
      <c r="H58" s="711"/>
      <c r="I58" s="734">
        <f t="shared" si="2"/>
        <v>0.85</v>
      </c>
      <c r="J58" s="735"/>
      <c r="K58" s="278"/>
      <c r="L58" s="278"/>
      <c r="M58" s="278"/>
      <c r="N58" s="278"/>
      <c r="O58" s="279"/>
    </row>
    <row r="59" spans="1:15" s="6" customFormat="1" x14ac:dyDescent="0.3">
      <c r="A59" s="707"/>
      <c r="B59" s="708"/>
      <c r="C59" s="698" t="s">
        <v>118</v>
      </c>
      <c r="D59" s="699"/>
      <c r="E59" s="700"/>
      <c r="F59" s="31">
        <v>0.7</v>
      </c>
      <c r="G59" s="711"/>
      <c r="H59" s="711"/>
      <c r="I59" s="734">
        <f t="shared" si="2"/>
        <v>0.7</v>
      </c>
      <c r="J59" s="735"/>
      <c r="K59" s="278"/>
      <c r="L59" s="278"/>
      <c r="M59" s="278"/>
      <c r="N59" s="278"/>
      <c r="O59" s="279"/>
    </row>
    <row r="60" spans="1:15" s="6" customFormat="1" ht="15" customHeight="1" x14ac:dyDescent="0.3">
      <c r="A60" s="705" t="s">
        <v>60</v>
      </c>
      <c r="B60" s="706"/>
      <c r="C60" s="697" t="s">
        <v>117</v>
      </c>
      <c r="D60" s="697"/>
      <c r="E60" s="697"/>
      <c r="F60" s="31">
        <v>0.85</v>
      </c>
      <c r="G60" s="711"/>
      <c r="H60" s="711"/>
      <c r="I60" s="734">
        <f t="shared" si="2"/>
        <v>0.85</v>
      </c>
      <c r="J60" s="735"/>
      <c r="K60" s="278"/>
      <c r="L60" s="278"/>
      <c r="M60" s="278"/>
      <c r="N60" s="278"/>
      <c r="O60" s="279"/>
    </row>
    <row r="61" spans="1:15" s="6" customFormat="1" ht="15" customHeight="1" x14ac:dyDescent="0.3">
      <c r="A61" s="701"/>
      <c r="B61" s="702"/>
      <c r="C61" s="698" t="s">
        <v>118</v>
      </c>
      <c r="D61" s="699"/>
      <c r="E61" s="700"/>
      <c r="F61" s="31">
        <v>0.78</v>
      </c>
      <c r="G61" s="711"/>
      <c r="H61" s="711"/>
      <c r="I61" s="734">
        <f t="shared" si="2"/>
        <v>0.78</v>
      </c>
      <c r="J61" s="735"/>
      <c r="K61" s="278"/>
      <c r="L61" s="278"/>
      <c r="M61" s="278"/>
      <c r="N61" s="278"/>
      <c r="O61" s="279"/>
    </row>
    <row r="62" spans="1:15" s="6" customFormat="1" ht="15" customHeight="1" x14ac:dyDescent="0.3">
      <c r="A62" s="705" t="s">
        <v>61</v>
      </c>
      <c r="B62" s="706"/>
      <c r="C62" s="697" t="s">
        <v>117</v>
      </c>
      <c r="D62" s="697"/>
      <c r="E62" s="697"/>
      <c r="F62" s="31">
        <v>0.65</v>
      </c>
      <c r="G62" s="711"/>
      <c r="H62" s="711"/>
      <c r="I62" s="734">
        <f t="shared" si="2"/>
        <v>0.65</v>
      </c>
      <c r="J62" s="735"/>
      <c r="K62" s="278"/>
      <c r="L62" s="278"/>
      <c r="M62" s="278"/>
      <c r="N62" s="278"/>
      <c r="O62" s="279"/>
    </row>
    <row r="63" spans="1:15" s="6" customFormat="1" ht="15" customHeight="1" x14ac:dyDescent="0.3">
      <c r="A63" s="701"/>
      <c r="B63" s="702"/>
      <c r="C63" s="698" t="s">
        <v>118</v>
      </c>
      <c r="D63" s="699"/>
      <c r="E63" s="700"/>
      <c r="F63" s="31">
        <v>0.46</v>
      </c>
      <c r="G63" s="711"/>
      <c r="H63" s="711"/>
      <c r="I63" s="734">
        <f t="shared" si="2"/>
        <v>0.46</v>
      </c>
      <c r="J63" s="735"/>
      <c r="K63" s="278"/>
      <c r="L63" s="278"/>
      <c r="M63" s="278"/>
      <c r="N63" s="278"/>
      <c r="O63" s="279"/>
    </row>
    <row r="64" spans="1:15" s="6" customFormat="1" x14ac:dyDescent="0.3">
      <c r="A64" s="703" t="s">
        <v>467</v>
      </c>
      <c r="B64" s="704"/>
      <c r="C64" s="697" t="s">
        <v>117</v>
      </c>
      <c r="D64" s="697"/>
      <c r="E64" s="697"/>
      <c r="F64" s="31">
        <v>0.96</v>
      </c>
      <c r="G64" s="711"/>
      <c r="H64" s="711"/>
      <c r="I64" s="734">
        <f t="shared" si="2"/>
        <v>0.96</v>
      </c>
      <c r="J64" s="735"/>
      <c r="K64" s="278"/>
      <c r="L64" s="278"/>
      <c r="M64" s="278"/>
      <c r="N64" s="278"/>
      <c r="O64" s="279"/>
    </row>
    <row r="65" spans="1:15" s="6" customFormat="1" x14ac:dyDescent="0.3">
      <c r="A65" s="707"/>
      <c r="B65" s="708"/>
      <c r="C65" s="698" t="s">
        <v>118</v>
      </c>
      <c r="D65" s="699"/>
      <c r="E65" s="700"/>
      <c r="F65" s="31">
        <v>0.85</v>
      </c>
      <c r="G65" s="711"/>
      <c r="H65" s="711"/>
      <c r="I65" s="734">
        <f t="shared" si="2"/>
        <v>0.85</v>
      </c>
      <c r="J65" s="735"/>
      <c r="K65" s="278"/>
      <c r="L65" s="278"/>
      <c r="M65" s="278"/>
      <c r="N65" s="278"/>
      <c r="O65" s="279"/>
    </row>
    <row r="66" spans="1:15" s="6" customFormat="1" x14ac:dyDescent="0.3">
      <c r="A66" s="703" t="s">
        <v>62</v>
      </c>
      <c r="B66" s="704"/>
      <c r="C66" s="697" t="s">
        <v>117</v>
      </c>
      <c r="D66" s="697"/>
      <c r="E66" s="697"/>
      <c r="F66" s="31">
        <v>0.74</v>
      </c>
      <c r="G66" s="711"/>
      <c r="H66" s="711"/>
      <c r="I66" s="734">
        <f t="shared" si="2"/>
        <v>0.74</v>
      </c>
      <c r="J66" s="735"/>
      <c r="K66" s="278"/>
      <c r="L66" s="278"/>
      <c r="M66" s="278"/>
      <c r="N66" s="278"/>
      <c r="O66" s="279"/>
    </row>
    <row r="67" spans="1:15" s="6" customFormat="1" x14ac:dyDescent="0.3">
      <c r="A67" s="707"/>
      <c r="B67" s="708"/>
      <c r="C67" s="698" t="s">
        <v>118</v>
      </c>
      <c r="D67" s="699"/>
      <c r="E67" s="700"/>
      <c r="F67" s="31">
        <v>0.74</v>
      </c>
      <c r="G67" s="711"/>
      <c r="H67" s="711"/>
      <c r="I67" s="734">
        <f t="shared" si="2"/>
        <v>0.74</v>
      </c>
      <c r="J67" s="735"/>
      <c r="K67" s="278"/>
      <c r="L67" s="278"/>
      <c r="M67" s="278"/>
      <c r="N67" s="278"/>
      <c r="O67" s="279"/>
    </row>
    <row r="68" spans="1:15" x14ac:dyDescent="0.3">
      <c r="A68" s="703" t="s">
        <v>206</v>
      </c>
      <c r="B68" s="704"/>
      <c r="C68" s="697" t="s">
        <v>117</v>
      </c>
      <c r="D68" s="697"/>
      <c r="E68" s="697"/>
      <c r="F68" s="31">
        <v>1</v>
      </c>
      <c r="G68" s="711"/>
      <c r="H68" s="711"/>
      <c r="I68" s="734">
        <f t="shared" ref="I68:I71" si="3">IF(ISNUMBER(G68),G68,F68)</f>
        <v>1</v>
      </c>
      <c r="J68" s="735"/>
      <c r="K68" s="2"/>
      <c r="L68" s="2"/>
      <c r="M68" s="2"/>
      <c r="N68" s="2"/>
      <c r="O68" s="192"/>
    </row>
    <row r="69" spans="1:15" x14ac:dyDescent="0.3">
      <c r="A69" s="707"/>
      <c r="B69" s="708"/>
      <c r="C69" s="698" t="s">
        <v>118</v>
      </c>
      <c r="D69" s="699"/>
      <c r="E69" s="700"/>
      <c r="F69" s="31">
        <v>1</v>
      </c>
      <c r="G69" s="711"/>
      <c r="H69" s="711"/>
      <c r="I69" s="734">
        <f t="shared" si="3"/>
        <v>1</v>
      </c>
      <c r="J69" s="735"/>
      <c r="K69" s="2"/>
      <c r="L69" s="2"/>
      <c r="M69" s="2"/>
      <c r="N69" s="2"/>
      <c r="O69" s="192"/>
    </row>
    <row r="70" spans="1:15" x14ac:dyDescent="0.3">
      <c r="A70" s="703" t="s">
        <v>207</v>
      </c>
      <c r="B70" s="704"/>
      <c r="C70" s="697" t="s">
        <v>117</v>
      </c>
      <c r="D70" s="697"/>
      <c r="E70" s="697"/>
      <c r="F70" s="31">
        <v>1</v>
      </c>
      <c r="G70" s="711"/>
      <c r="H70" s="711"/>
      <c r="I70" s="734">
        <f t="shared" si="3"/>
        <v>1</v>
      </c>
      <c r="J70" s="735"/>
      <c r="K70" s="2"/>
      <c r="L70" s="2"/>
      <c r="M70" s="2"/>
      <c r="N70" s="2"/>
      <c r="O70" s="192"/>
    </row>
    <row r="71" spans="1:15" x14ac:dyDescent="0.3">
      <c r="A71" s="707"/>
      <c r="B71" s="708"/>
      <c r="C71" s="698" t="s">
        <v>118</v>
      </c>
      <c r="D71" s="699"/>
      <c r="E71" s="700"/>
      <c r="F71" s="31">
        <v>1</v>
      </c>
      <c r="G71" s="711"/>
      <c r="H71" s="711"/>
      <c r="I71" s="734">
        <f t="shared" si="3"/>
        <v>1</v>
      </c>
      <c r="J71" s="735"/>
      <c r="K71" s="2"/>
      <c r="L71" s="2"/>
      <c r="M71" s="2"/>
      <c r="N71" s="2"/>
      <c r="O71" s="192"/>
    </row>
    <row r="72" spans="1:15" x14ac:dyDescent="0.3">
      <c r="A72" s="703" t="s">
        <v>26</v>
      </c>
      <c r="B72" s="704"/>
      <c r="C72" s="697" t="s">
        <v>117</v>
      </c>
      <c r="D72" s="697"/>
      <c r="E72" s="697"/>
      <c r="F72" s="31">
        <v>0.67</v>
      </c>
      <c r="G72" s="711"/>
      <c r="H72" s="711"/>
      <c r="I72" s="734">
        <f>IF(ISNUMBER(G72),G72,F72)</f>
        <v>0.67</v>
      </c>
      <c r="J72" s="735"/>
      <c r="K72" s="2"/>
      <c r="L72" s="2"/>
      <c r="M72" s="2"/>
      <c r="N72" s="2"/>
      <c r="O72" s="192"/>
    </row>
    <row r="73" spans="1:15" x14ac:dyDescent="0.3">
      <c r="A73" s="703"/>
      <c r="B73" s="704"/>
      <c r="C73" s="697" t="s">
        <v>118</v>
      </c>
      <c r="D73" s="697"/>
      <c r="E73" s="697"/>
      <c r="F73" s="31">
        <v>0.59</v>
      </c>
      <c r="G73" s="711"/>
      <c r="H73" s="711"/>
      <c r="I73" s="734">
        <f>IF(ISNUMBER(G73),G73,F73)</f>
        <v>0.59</v>
      </c>
      <c r="J73" s="735"/>
      <c r="K73" s="2"/>
      <c r="L73" s="2"/>
      <c r="M73" s="2"/>
      <c r="N73" s="2"/>
      <c r="O73" s="192"/>
    </row>
    <row r="74" spans="1:15" x14ac:dyDescent="0.3">
      <c r="A74" s="717" t="s">
        <v>488</v>
      </c>
      <c r="B74" s="718"/>
      <c r="C74" s="718"/>
      <c r="D74" s="718"/>
      <c r="E74" s="718"/>
      <c r="F74" s="718"/>
      <c r="G74" s="718"/>
      <c r="H74" s="718"/>
      <c r="I74" s="718"/>
      <c r="J74" s="719"/>
      <c r="K74" s="2"/>
      <c r="L74" s="2"/>
      <c r="M74" s="2"/>
      <c r="N74" s="2"/>
      <c r="O74" s="192"/>
    </row>
    <row r="75" spans="1:15" ht="15" customHeight="1" x14ac:dyDescent="0.3">
      <c r="A75" s="694" t="s">
        <v>396</v>
      </c>
      <c r="B75" s="695"/>
      <c r="C75" s="695"/>
      <c r="D75" s="695"/>
      <c r="E75" s="695"/>
      <c r="F75" s="695"/>
      <c r="G75" s="695"/>
      <c r="H75" s="695"/>
      <c r="I75" s="695"/>
      <c r="J75" s="696"/>
      <c r="K75" s="2"/>
      <c r="L75" s="2"/>
      <c r="M75" s="2"/>
      <c r="N75" s="2"/>
      <c r="O75" s="192"/>
    </row>
    <row r="76" spans="1:15" ht="30.6" customHeight="1" x14ac:dyDescent="0.3">
      <c r="A76" s="333" t="s">
        <v>102</v>
      </c>
      <c r="B76" s="329" t="s">
        <v>490</v>
      </c>
      <c r="C76" s="329" t="s">
        <v>491</v>
      </c>
      <c r="D76" s="329" t="s">
        <v>489</v>
      </c>
      <c r="E76" s="329" t="s">
        <v>116</v>
      </c>
      <c r="F76" s="324" t="s">
        <v>170</v>
      </c>
      <c r="G76" s="742" t="s">
        <v>171</v>
      </c>
      <c r="H76" s="743"/>
      <c r="I76" s="742" t="s">
        <v>172</v>
      </c>
      <c r="J76" s="743"/>
      <c r="K76" s="2"/>
      <c r="L76" s="2"/>
      <c r="M76" s="2"/>
      <c r="N76" s="2"/>
      <c r="O76" s="192"/>
    </row>
    <row r="77" spans="1:15" x14ac:dyDescent="0.3">
      <c r="A77" s="747" t="s">
        <v>30</v>
      </c>
      <c r="B77" s="749" t="s">
        <v>56</v>
      </c>
      <c r="C77" s="748" t="s">
        <v>132</v>
      </c>
      <c r="D77" s="746" t="s">
        <v>492</v>
      </c>
      <c r="E77" s="330" t="s">
        <v>117</v>
      </c>
      <c r="F77" s="31">
        <v>0.28999999999999998</v>
      </c>
      <c r="G77" s="744"/>
      <c r="H77" s="745"/>
      <c r="I77" s="734">
        <f>IF(ISNUMBER(G77),G77,F77)</f>
        <v>0.28999999999999998</v>
      </c>
      <c r="J77" s="735"/>
      <c r="K77" s="3"/>
      <c r="L77" s="2"/>
      <c r="M77" s="2"/>
      <c r="N77" s="2"/>
      <c r="O77" s="192"/>
    </row>
    <row r="78" spans="1:15" x14ac:dyDescent="0.3">
      <c r="A78" s="747"/>
      <c r="B78" s="749"/>
      <c r="C78" s="748"/>
      <c r="D78" s="746"/>
      <c r="E78" s="330" t="s">
        <v>118</v>
      </c>
      <c r="F78" s="31">
        <v>0.13</v>
      </c>
      <c r="G78" s="744"/>
      <c r="H78" s="745"/>
      <c r="I78" s="734">
        <f t="shared" ref="I78:I100" si="4">IF(ISNUMBER(G78),G78,F78)</f>
        <v>0.13</v>
      </c>
      <c r="J78" s="735"/>
      <c r="K78" s="3"/>
      <c r="L78" s="2"/>
      <c r="M78" s="2"/>
      <c r="N78" s="2"/>
      <c r="O78" s="192"/>
    </row>
    <row r="79" spans="1:15" x14ac:dyDescent="0.3">
      <c r="A79" s="747"/>
      <c r="B79" s="749"/>
      <c r="C79" s="748"/>
      <c r="D79" s="746" t="s">
        <v>493</v>
      </c>
      <c r="E79" s="330" t="s">
        <v>117</v>
      </c>
      <c r="F79" s="31" t="s">
        <v>494</v>
      </c>
      <c r="G79" s="744"/>
      <c r="H79" s="745"/>
      <c r="I79" s="734" t="str">
        <f t="shared" si="4"/>
        <v>None</v>
      </c>
      <c r="J79" s="735"/>
      <c r="K79" s="3"/>
      <c r="L79" s="2"/>
      <c r="M79" s="2"/>
      <c r="N79" s="2"/>
      <c r="O79" s="192"/>
    </row>
    <row r="80" spans="1:15" x14ac:dyDescent="0.3">
      <c r="A80" s="747"/>
      <c r="B80" s="749"/>
      <c r="C80" s="748"/>
      <c r="D80" s="746"/>
      <c r="E80" s="330" t="s">
        <v>118</v>
      </c>
      <c r="F80" s="31" t="s">
        <v>494</v>
      </c>
      <c r="G80" s="744"/>
      <c r="H80" s="745"/>
      <c r="I80" s="734" t="str">
        <f t="shared" si="4"/>
        <v>None</v>
      </c>
      <c r="J80" s="735"/>
      <c r="K80" s="3"/>
      <c r="L80" s="2"/>
      <c r="M80" s="2"/>
      <c r="N80" s="2"/>
      <c r="O80" s="192"/>
    </row>
    <row r="81" spans="1:15" x14ac:dyDescent="0.3">
      <c r="A81" s="747"/>
      <c r="B81" s="749"/>
      <c r="C81" s="748" t="s">
        <v>432</v>
      </c>
      <c r="D81" s="746" t="s">
        <v>492</v>
      </c>
      <c r="E81" s="330" t="s">
        <v>117</v>
      </c>
      <c r="F81" s="31">
        <v>0.22</v>
      </c>
      <c r="G81" s="744"/>
      <c r="H81" s="745"/>
      <c r="I81" s="734">
        <f t="shared" si="4"/>
        <v>0.22</v>
      </c>
      <c r="J81" s="735"/>
      <c r="K81" s="3"/>
      <c r="L81" s="2"/>
      <c r="M81" s="2"/>
      <c r="N81" s="2"/>
      <c r="O81" s="192"/>
    </row>
    <row r="82" spans="1:15" x14ac:dyDescent="0.3">
      <c r="A82" s="747"/>
      <c r="B82" s="749"/>
      <c r="C82" s="748"/>
      <c r="D82" s="746"/>
      <c r="E82" s="330" t="s">
        <v>118</v>
      </c>
      <c r="F82" s="31">
        <v>0.22</v>
      </c>
      <c r="G82" s="744"/>
      <c r="H82" s="745"/>
      <c r="I82" s="734">
        <f t="shared" si="4"/>
        <v>0.22</v>
      </c>
      <c r="J82" s="735"/>
      <c r="K82" s="3"/>
      <c r="L82" s="2"/>
      <c r="M82" s="2"/>
      <c r="N82" s="2"/>
      <c r="O82" s="192"/>
    </row>
    <row r="83" spans="1:15" x14ac:dyDescent="0.3">
      <c r="A83" s="747"/>
      <c r="B83" s="749"/>
      <c r="C83" s="748"/>
      <c r="D83" s="746" t="s">
        <v>493</v>
      </c>
      <c r="E83" s="330" t="s">
        <v>117</v>
      </c>
      <c r="F83" s="31">
        <v>0.81</v>
      </c>
      <c r="G83" s="744"/>
      <c r="H83" s="745"/>
      <c r="I83" s="734">
        <f t="shared" si="4"/>
        <v>0.81</v>
      </c>
      <c r="J83" s="735"/>
      <c r="K83" s="3"/>
      <c r="L83" s="2"/>
      <c r="M83" s="2"/>
      <c r="N83" s="2"/>
      <c r="O83" s="192"/>
    </row>
    <row r="84" spans="1:15" x14ac:dyDescent="0.3">
      <c r="A84" s="747"/>
      <c r="B84" s="749"/>
      <c r="C84" s="748"/>
      <c r="D84" s="746"/>
      <c r="E84" s="330" t="s">
        <v>118</v>
      </c>
      <c r="F84" s="31">
        <v>0.32</v>
      </c>
      <c r="G84" s="744"/>
      <c r="H84" s="745"/>
      <c r="I84" s="734">
        <f t="shared" si="4"/>
        <v>0.32</v>
      </c>
      <c r="J84" s="735"/>
      <c r="K84" s="3"/>
      <c r="L84" s="2"/>
      <c r="M84" s="2"/>
      <c r="N84" s="2"/>
      <c r="O84" s="192"/>
    </row>
    <row r="85" spans="1:15" x14ac:dyDescent="0.3">
      <c r="A85" s="747"/>
      <c r="B85" s="749"/>
      <c r="C85" s="748" t="s">
        <v>131</v>
      </c>
      <c r="D85" s="746" t="s">
        <v>492</v>
      </c>
      <c r="E85" s="330" t="s">
        <v>117</v>
      </c>
      <c r="F85" s="31">
        <v>0.61</v>
      </c>
      <c r="G85" s="744"/>
      <c r="H85" s="745"/>
      <c r="I85" s="734">
        <f t="shared" si="4"/>
        <v>0.61</v>
      </c>
      <c r="J85" s="735"/>
      <c r="K85" s="3"/>
      <c r="L85" s="2"/>
      <c r="M85" s="2"/>
      <c r="N85" s="2"/>
      <c r="O85" s="192"/>
    </row>
    <row r="86" spans="1:15" x14ac:dyDescent="0.3">
      <c r="A86" s="747"/>
      <c r="B86" s="749"/>
      <c r="C86" s="748"/>
      <c r="D86" s="746"/>
      <c r="E86" s="330" t="s">
        <v>118</v>
      </c>
      <c r="F86" s="31">
        <v>0.22</v>
      </c>
      <c r="G86" s="744"/>
      <c r="H86" s="745"/>
      <c r="I86" s="734">
        <f t="shared" si="4"/>
        <v>0.22</v>
      </c>
      <c r="J86" s="735"/>
      <c r="K86" s="3"/>
      <c r="L86" s="2"/>
      <c r="M86" s="2"/>
      <c r="N86" s="2"/>
      <c r="O86" s="192"/>
    </row>
    <row r="87" spans="1:15" x14ac:dyDescent="0.3">
      <c r="A87" s="747"/>
      <c r="B87" s="749"/>
      <c r="C87" s="748"/>
      <c r="D87" s="746" t="s">
        <v>493</v>
      </c>
      <c r="E87" s="330" t="s">
        <v>117</v>
      </c>
      <c r="F87" s="31">
        <v>0.88</v>
      </c>
      <c r="G87" s="744"/>
      <c r="H87" s="745"/>
      <c r="I87" s="734">
        <f t="shared" si="4"/>
        <v>0.88</v>
      </c>
      <c r="J87" s="735"/>
      <c r="K87" s="3"/>
      <c r="L87" s="2"/>
      <c r="M87" s="2"/>
      <c r="N87" s="2"/>
      <c r="O87" s="192"/>
    </row>
    <row r="88" spans="1:15" x14ac:dyDescent="0.3">
      <c r="A88" s="747"/>
      <c r="B88" s="749"/>
      <c r="C88" s="748"/>
      <c r="D88" s="746"/>
      <c r="E88" s="330" t="s">
        <v>118</v>
      </c>
      <c r="F88" s="31" t="s">
        <v>494</v>
      </c>
      <c r="G88" s="744"/>
      <c r="H88" s="745"/>
      <c r="I88" s="734" t="str">
        <f t="shared" si="4"/>
        <v>None</v>
      </c>
      <c r="J88" s="735"/>
      <c r="K88" s="3"/>
      <c r="L88" s="2"/>
      <c r="M88" s="2"/>
      <c r="N88" s="2"/>
      <c r="O88" s="192"/>
    </row>
    <row r="89" spans="1:15" x14ac:dyDescent="0.3">
      <c r="A89" s="747"/>
      <c r="B89" s="749" t="s">
        <v>43</v>
      </c>
      <c r="C89" s="748" t="s">
        <v>132</v>
      </c>
      <c r="D89" s="746" t="s">
        <v>492</v>
      </c>
      <c r="E89" s="330" t="s">
        <v>117</v>
      </c>
      <c r="F89" s="31" t="s">
        <v>494</v>
      </c>
      <c r="G89" s="744"/>
      <c r="H89" s="745"/>
      <c r="I89" s="734" t="str">
        <f t="shared" si="4"/>
        <v>None</v>
      </c>
      <c r="J89" s="735"/>
      <c r="K89" s="3"/>
      <c r="L89" s="2"/>
      <c r="M89" s="2"/>
      <c r="N89" s="2"/>
      <c r="O89" s="192"/>
    </row>
    <row r="90" spans="1:15" x14ac:dyDescent="0.3">
      <c r="A90" s="747"/>
      <c r="B90" s="749"/>
      <c r="C90" s="748"/>
      <c r="D90" s="746"/>
      <c r="E90" s="330" t="s">
        <v>118</v>
      </c>
      <c r="F90" s="31" t="s">
        <v>494</v>
      </c>
      <c r="G90" s="744"/>
      <c r="H90" s="745"/>
      <c r="I90" s="734" t="str">
        <f t="shared" si="4"/>
        <v>None</v>
      </c>
      <c r="J90" s="735"/>
      <c r="K90" s="3"/>
      <c r="L90" s="2"/>
      <c r="M90" s="2"/>
      <c r="N90" s="2"/>
      <c r="O90" s="192"/>
    </row>
    <row r="91" spans="1:15" x14ac:dyDescent="0.3">
      <c r="A91" s="747"/>
      <c r="B91" s="749"/>
      <c r="C91" s="748"/>
      <c r="D91" s="746" t="s">
        <v>493</v>
      </c>
      <c r="E91" s="330" t="s">
        <v>117</v>
      </c>
      <c r="F91" s="31" t="s">
        <v>494</v>
      </c>
      <c r="G91" s="744"/>
      <c r="H91" s="745"/>
      <c r="I91" s="734" t="str">
        <f t="shared" si="4"/>
        <v>None</v>
      </c>
      <c r="J91" s="735"/>
      <c r="K91" s="3"/>
      <c r="L91" s="2"/>
      <c r="M91" s="2"/>
      <c r="N91" s="2"/>
      <c r="O91" s="192"/>
    </row>
    <row r="92" spans="1:15" x14ac:dyDescent="0.3">
      <c r="A92" s="747"/>
      <c r="B92" s="749"/>
      <c r="C92" s="748"/>
      <c r="D92" s="746"/>
      <c r="E92" s="330" t="s">
        <v>118</v>
      </c>
      <c r="F92" s="31" t="s">
        <v>494</v>
      </c>
      <c r="G92" s="744"/>
      <c r="H92" s="745"/>
      <c r="I92" s="734" t="str">
        <f t="shared" si="4"/>
        <v>None</v>
      </c>
      <c r="J92" s="735"/>
      <c r="K92" s="3"/>
      <c r="L92" s="2"/>
      <c r="M92" s="2"/>
      <c r="N92" s="2"/>
      <c r="O92" s="192"/>
    </row>
    <row r="93" spans="1:15" x14ac:dyDescent="0.3">
      <c r="A93" s="747"/>
      <c r="B93" s="749"/>
      <c r="C93" s="748" t="s">
        <v>432</v>
      </c>
      <c r="D93" s="746" t="s">
        <v>492</v>
      </c>
      <c r="E93" s="330" t="s">
        <v>117</v>
      </c>
      <c r="F93" s="31">
        <v>0.74</v>
      </c>
      <c r="G93" s="744"/>
      <c r="H93" s="745"/>
      <c r="I93" s="734">
        <f t="shared" si="4"/>
        <v>0.74</v>
      </c>
      <c r="J93" s="735"/>
      <c r="K93" s="3"/>
      <c r="L93" s="2"/>
      <c r="M93" s="2"/>
      <c r="N93" s="2"/>
      <c r="O93" s="192"/>
    </row>
    <row r="94" spans="1:15" x14ac:dyDescent="0.3">
      <c r="A94" s="747"/>
      <c r="B94" s="749"/>
      <c r="C94" s="748"/>
      <c r="D94" s="746"/>
      <c r="E94" s="330" t="s">
        <v>118</v>
      </c>
      <c r="F94" s="31">
        <v>0.45</v>
      </c>
      <c r="G94" s="744"/>
      <c r="H94" s="745"/>
      <c r="I94" s="734">
        <f t="shared" si="4"/>
        <v>0.45</v>
      </c>
      <c r="J94" s="735"/>
      <c r="K94" s="3"/>
      <c r="L94" s="2"/>
      <c r="M94" s="2"/>
      <c r="N94" s="2"/>
      <c r="O94" s="192"/>
    </row>
    <row r="95" spans="1:15" x14ac:dyDescent="0.3">
      <c r="A95" s="747"/>
      <c r="B95" s="749"/>
      <c r="C95" s="748"/>
      <c r="D95" s="746" t="s">
        <v>493</v>
      </c>
      <c r="E95" s="330" t="s">
        <v>117</v>
      </c>
      <c r="F95" s="31">
        <v>0.81</v>
      </c>
      <c r="G95" s="744"/>
      <c r="H95" s="745"/>
      <c r="I95" s="734">
        <f t="shared" si="4"/>
        <v>0.81</v>
      </c>
      <c r="J95" s="735"/>
      <c r="K95" s="3"/>
      <c r="L95" s="2"/>
      <c r="M95" s="2"/>
      <c r="N95" s="2"/>
      <c r="O95" s="192"/>
    </row>
    <row r="96" spans="1:15" x14ac:dyDescent="0.3">
      <c r="A96" s="747"/>
      <c r="B96" s="749"/>
      <c r="C96" s="748"/>
      <c r="D96" s="746"/>
      <c r="E96" s="330" t="s">
        <v>118</v>
      </c>
      <c r="F96" s="31">
        <v>0.28999999999999998</v>
      </c>
      <c r="G96" s="744"/>
      <c r="H96" s="745"/>
      <c r="I96" s="734">
        <f t="shared" si="4"/>
        <v>0.28999999999999998</v>
      </c>
      <c r="J96" s="735"/>
      <c r="K96" s="3"/>
      <c r="L96" s="2"/>
      <c r="M96" s="2"/>
      <c r="N96" s="2"/>
      <c r="O96" s="192"/>
    </row>
    <row r="97" spans="1:15" x14ac:dyDescent="0.3">
      <c r="A97" s="747"/>
      <c r="B97" s="749"/>
      <c r="C97" s="748" t="s">
        <v>131</v>
      </c>
      <c r="D97" s="746" t="s">
        <v>492</v>
      </c>
      <c r="E97" s="330" t="s">
        <v>117</v>
      </c>
      <c r="F97" s="31">
        <v>0.74</v>
      </c>
      <c r="G97" s="744"/>
      <c r="H97" s="745"/>
      <c r="I97" s="734">
        <f t="shared" si="4"/>
        <v>0.74</v>
      </c>
      <c r="J97" s="735"/>
      <c r="K97" s="3"/>
      <c r="L97" s="2"/>
      <c r="M97" s="2"/>
      <c r="N97" s="2"/>
      <c r="O97" s="192"/>
    </row>
    <row r="98" spans="1:15" x14ac:dyDescent="0.3">
      <c r="A98" s="747"/>
      <c r="B98" s="749"/>
      <c r="C98" s="748"/>
      <c r="D98" s="746"/>
      <c r="E98" s="330" t="s">
        <v>118</v>
      </c>
      <c r="F98" s="31">
        <v>0.45</v>
      </c>
      <c r="G98" s="744"/>
      <c r="H98" s="745"/>
      <c r="I98" s="734">
        <f t="shared" si="4"/>
        <v>0.45</v>
      </c>
      <c r="J98" s="735"/>
      <c r="K98" s="3"/>
      <c r="L98" s="2"/>
      <c r="M98" s="2"/>
      <c r="N98" s="2"/>
      <c r="O98" s="192"/>
    </row>
    <row r="99" spans="1:15" x14ac:dyDescent="0.3">
      <c r="A99" s="747"/>
      <c r="B99" s="749"/>
      <c r="C99" s="748"/>
      <c r="D99" s="746" t="s">
        <v>493</v>
      </c>
      <c r="E99" s="330" t="s">
        <v>117</v>
      </c>
      <c r="F99" s="31">
        <v>0.81</v>
      </c>
      <c r="G99" s="744"/>
      <c r="H99" s="745"/>
      <c r="I99" s="734">
        <f t="shared" si="4"/>
        <v>0.81</v>
      </c>
      <c r="J99" s="735"/>
      <c r="K99" s="3"/>
      <c r="L99" s="2"/>
      <c r="M99" s="2"/>
      <c r="N99" s="2"/>
      <c r="O99" s="192"/>
    </row>
    <row r="100" spans="1:15" x14ac:dyDescent="0.3">
      <c r="A100" s="747"/>
      <c r="B100" s="749"/>
      <c r="C100" s="748"/>
      <c r="D100" s="746"/>
      <c r="E100" s="330" t="s">
        <v>118</v>
      </c>
      <c r="F100" s="31">
        <v>0.28999999999999998</v>
      </c>
      <c r="G100" s="744"/>
      <c r="H100" s="745"/>
      <c r="I100" s="734">
        <f t="shared" si="4"/>
        <v>0.28999999999999998</v>
      </c>
      <c r="J100" s="735"/>
      <c r="K100" s="3"/>
      <c r="L100" s="2"/>
      <c r="M100" s="2"/>
      <c r="N100" s="2"/>
      <c r="O100" s="192"/>
    </row>
    <row r="101" spans="1:15" ht="15" thickBot="1" x14ac:dyDescent="0.35">
      <c r="A101" s="280"/>
      <c r="B101" s="281"/>
      <c r="C101" s="281"/>
      <c r="D101" s="281"/>
      <c r="E101" s="281"/>
      <c r="F101" s="281"/>
      <c r="G101" s="195"/>
      <c r="H101" s="195"/>
      <c r="I101" s="195"/>
      <c r="J101" s="195"/>
      <c r="K101" s="195"/>
      <c r="L101" s="195"/>
      <c r="M101" s="195"/>
      <c r="N101" s="195"/>
      <c r="O101" s="196"/>
    </row>
    <row r="102" spans="1:15" ht="3" customHeight="1" x14ac:dyDescent="0.3"/>
  </sheetData>
  <sheetProtection algorithmName="SHA-512" hashValue="/sJx3LvY+GolLhwSLxyFYKPHJhl6ScAbWBLLEVLIZchgF/NxYG7RWFlibFNJs/YQQHID1+yA59iKp4LiDV/HQw==" saltValue="qrdnTC2EGyiBpPGF9L8dfQ==" spinCount="100000" sheet="1" objects="1" scenarios="1"/>
  <mergeCells count="280">
    <mergeCell ref="I100:J100"/>
    <mergeCell ref="G100:H100"/>
    <mergeCell ref="I77:J77"/>
    <mergeCell ref="I78:J78"/>
    <mergeCell ref="I79:J79"/>
    <mergeCell ref="I80:J80"/>
    <mergeCell ref="I81:J81"/>
    <mergeCell ref="I82:J82"/>
    <mergeCell ref="I83:J83"/>
    <mergeCell ref="I84:J84"/>
    <mergeCell ref="I85:J85"/>
    <mergeCell ref="I86:J86"/>
    <mergeCell ref="I87:J87"/>
    <mergeCell ref="I88:J88"/>
    <mergeCell ref="I89:J89"/>
    <mergeCell ref="I90:J90"/>
    <mergeCell ref="I91:J91"/>
    <mergeCell ref="I92:J92"/>
    <mergeCell ref="I93:J93"/>
    <mergeCell ref="I94:J94"/>
    <mergeCell ref="I95:J95"/>
    <mergeCell ref="I96:J96"/>
    <mergeCell ref="I97:J97"/>
    <mergeCell ref="I98:J98"/>
    <mergeCell ref="I99:J99"/>
    <mergeCell ref="G91:H91"/>
    <mergeCell ref="G92:H92"/>
    <mergeCell ref="G93:H93"/>
    <mergeCell ref="G94:H94"/>
    <mergeCell ref="G95:H95"/>
    <mergeCell ref="G96:H96"/>
    <mergeCell ref="G97:H97"/>
    <mergeCell ref="G98:H98"/>
    <mergeCell ref="G99:H99"/>
    <mergeCell ref="D87:D88"/>
    <mergeCell ref="C77:C80"/>
    <mergeCell ref="C81:C84"/>
    <mergeCell ref="C85:C88"/>
    <mergeCell ref="B77:B88"/>
    <mergeCell ref="B89:B100"/>
    <mergeCell ref="C89:C92"/>
    <mergeCell ref="D89:D90"/>
    <mergeCell ref="D91:D92"/>
    <mergeCell ref="C93:C96"/>
    <mergeCell ref="D93:D94"/>
    <mergeCell ref="D95:D96"/>
    <mergeCell ref="C97:C100"/>
    <mergeCell ref="D97:D98"/>
    <mergeCell ref="D99:D100"/>
    <mergeCell ref="A74:J74"/>
    <mergeCell ref="A75:J75"/>
    <mergeCell ref="G76:H76"/>
    <mergeCell ref="I76:J76"/>
    <mergeCell ref="D77:D78"/>
    <mergeCell ref="A77:A100"/>
    <mergeCell ref="G77:H77"/>
    <mergeCell ref="G78:H78"/>
    <mergeCell ref="G79:H79"/>
    <mergeCell ref="G80:H80"/>
    <mergeCell ref="G81:H81"/>
    <mergeCell ref="G82:H82"/>
    <mergeCell ref="G83:H83"/>
    <mergeCell ref="G84:H84"/>
    <mergeCell ref="G85:H85"/>
    <mergeCell ref="G86:H86"/>
    <mergeCell ref="G87:H87"/>
    <mergeCell ref="G88:H88"/>
    <mergeCell ref="G89:H89"/>
    <mergeCell ref="G90:H90"/>
    <mergeCell ref="D79:D80"/>
    <mergeCell ref="D81:D82"/>
    <mergeCell ref="D83:D84"/>
    <mergeCell ref="D85:D86"/>
    <mergeCell ref="A1:O1"/>
    <mergeCell ref="A2:O2"/>
    <mergeCell ref="I73:J73"/>
    <mergeCell ref="I60:J60"/>
    <mergeCell ref="I61:J61"/>
    <mergeCell ref="I62:J62"/>
    <mergeCell ref="I63:J63"/>
    <mergeCell ref="I64:J64"/>
    <mergeCell ref="G73:H73"/>
    <mergeCell ref="G60:H60"/>
    <mergeCell ref="G61:H61"/>
    <mergeCell ref="G62:H62"/>
    <mergeCell ref="G63:H63"/>
    <mergeCell ref="G64:H64"/>
    <mergeCell ref="I70:J70"/>
    <mergeCell ref="I71:J71"/>
    <mergeCell ref="I55:J55"/>
    <mergeCell ref="G65:H65"/>
    <mergeCell ref="G66:H66"/>
    <mergeCell ref="G67:H67"/>
    <mergeCell ref="G72:H72"/>
    <mergeCell ref="G55:H55"/>
    <mergeCell ref="G56:H56"/>
    <mergeCell ref="G57:H57"/>
    <mergeCell ref="I66:J66"/>
    <mergeCell ref="I67:J67"/>
    <mergeCell ref="I72:J72"/>
    <mergeCell ref="I56:J56"/>
    <mergeCell ref="I57:J57"/>
    <mergeCell ref="I58:J58"/>
    <mergeCell ref="I59:J59"/>
    <mergeCell ref="I65:J65"/>
    <mergeCell ref="G68:H68"/>
    <mergeCell ref="G69:H69"/>
    <mergeCell ref="G70:H70"/>
    <mergeCell ref="G71:H71"/>
    <mergeCell ref="I68:J68"/>
    <mergeCell ref="I69:J69"/>
    <mergeCell ref="I45:J46"/>
    <mergeCell ref="F45:F46"/>
    <mergeCell ref="B32:B33"/>
    <mergeCell ref="A40:A43"/>
    <mergeCell ref="B40:B41"/>
    <mergeCell ref="B42:B43"/>
    <mergeCell ref="B45:E46"/>
    <mergeCell ref="B38:B39"/>
    <mergeCell ref="A34:A39"/>
    <mergeCell ref="B34:B35"/>
    <mergeCell ref="B36:B37"/>
    <mergeCell ref="A20:A33"/>
    <mergeCell ref="G34:H34"/>
    <mergeCell ref="G35:H35"/>
    <mergeCell ref="G26:H26"/>
    <mergeCell ref="G27:H27"/>
    <mergeCell ref="G28:H28"/>
    <mergeCell ref="G29:H29"/>
    <mergeCell ref="G30:H30"/>
    <mergeCell ref="G21:H21"/>
    <mergeCell ref="G22:H22"/>
    <mergeCell ref="G23:H23"/>
    <mergeCell ref="G24:H24"/>
    <mergeCell ref="G25:H25"/>
    <mergeCell ref="C69:E69"/>
    <mergeCell ref="C70:E70"/>
    <mergeCell ref="C71:E71"/>
    <mergeCell ref="C55:E55"/>
    <mergeCell ref="C56:E56"/>
    <mergeCell ref="C57:E57"/>
    <mergeCell ref="A53:J53"/>
    <mergeCell ref="F4:F5"/>
    <mergeCell ref="A4:A5"/>
    <mergeCell ref="B4:B5"/>
    <mergeCell ref="C4:C5"/>
    <mergeCell ref="A6:A19"/>
    <mergeCell ref="B6:B7"/>
    <mergeCell ref="B8:B9"/>
    <mergeCell ref="B18:B19"/>
    <mergeCell ref="D4:D5"/>
    <mergeCell ref="E4:E5"/>
    <mergeCell ref="B20:B21"/>
    <mergeCell ref="A45:A46"/>
    <mergeCell ref="B22:B23"/>
    <mergeCell ref="B24:B31"/>
    <mergeCell ref="B10:B17"/>
    <mergeCell ref="A44:J44"/>
    <mergeCell ref="G45:H46"/>
    <mergeCell ref="B47:E47"/>
    <mergeCell ref="B48:E48"/>
    <mergeCell ref="B49:E49"/>
    <mergeCell ref="A51:A52"/>
    <mergeCell ref="B51:E51"/>
    <mergeCell ref="B52:E52"/>
    <mergeCell ref="B50:E50"/>
    <mergeCell ref="A73:B73"/>
    <mergeCell ref="C73:E73"/>
    <mergeCell ref="A64:B64"/>
    <mergeCell ref="A66:B66"/>
    <mergeCell ref="A72:B72"/>
    <mergeCell ref="C64:E64"/>
    <mergeCell ref="C66:E66"/>
    <mergeCell ref="C72:E72"/>
    <mergeCell ref="A67:B67"/>
    <mergeCell ref="C67:E67"/>
    <mergeCell ref="A65:B65"/>
    <mergeCell ref="C65:E65"/>
    <mergeCell ref="A68:B68"/>
    <mergeCell ref="A69:B69"/>
    <mergeCell ref="A70:B70"/>
    <mergeCell ref="A71:B71"/>
    <mergeCell ref="C68:E68"/>
    <mergeCell ref="A54:J54"/>
    <mergeCell ref="C58:E58"/>
    <mergeCell ref="C60:E60"/>
    <mergeCell ref="C59:E59"/>
    <mergeCell ref="A63:B63"/>
    <mergeCell ref="A61:B61"/>
    <mergeCell ref="C62:E62"/>
    <mergeCell ref="C61:E61"/>
    <mergeCell ref="C63:E63"/>
    <mergeCell ref="A58:B58"/>
    <mergeCell ref="A60:B60"/>
    <mergeCell ref="A62:B62"/>
    <mergeCell ref="A59:B59"/>
    <mergeCell ref="A55:B55"/>
    <mergeCell ref="A56:B56"/>
    <mergeCell ref="A57:B57"/>
    <mergeCell ref="G58:H58"/>
    <mergeCell ref="G59:H59"/>
    <mergeCell ref="G41:H41"/>
    <mergeCell ref="G42:H42"/>
    <mergeCell ref="G43:H43"/>
    <mergeCell ref="G4:H5"/>
    <mergeCell ref="I4:J5"/>
    <mergeCell ref="I8:J8"/>
    <mergeCell ref="I9:J9"/>
    <mergeCell ref="I10:J10"/>
    <mergeCell ref="I11:J11"/>
    <mergeCell ref="I12:J12"/>
    <mergeCell ref="I13:J13"/>
    <mergeCell ref="I14:J14"/>
    <mergeCell ref="I15:J15"/>
    <mergeCell ref="I16:J16"/>
    <mergeCell ref="I17:J17"/>
    <mergeCell ref="I18:J18"/>
    <mergeCell ref="G36:H36"/>
    <mergeCell ref="G37:H37"/>
    <mergeCell ref="G38:H38"/>
    <mergeCell ref="G39:H39"/>
    <mergeCell ref="G40:H40"/>
    <mergeCell ref="G31:H31"/>
    <mergeCell ref="G32:H32"/>
    <mergeCell ref="G33:H33"/>
    <mergeCell ref="I19:J19"/>
    <mergeCell ref="I20:J20"/>
    <mergeCell ref="I21:J21"/>
    <mergeCell ref="I22:J22"/>
    <mergeCell ref="I23:J23"/>
    <mergeCell ref="A3:J3"/>
    <mergeCell ref="I6:J6"/>
    <mergeCell ref="I7:J7"/>
    <mergeCell ref="G16:H16"/>
    <mergeCell ref="G17:H17"/>
    <mergeCell ref="G18:H18"/>
    <mergeCell ref="G19:H19"/>
    <mergeCell ref="G20:H20"/>
    <mergeCell ref="G11:H11"/>
    <mergeCell ref="G12:H12"/>
    <mergeCell ref="G13:H13"/>
    <mergeCell ref="G14:H14"/>
    <mergeCell ref="G15:H15"/>
    <mergeCell ref="G6:H6"/>
    <mergeCell ref="G7:H7"/>
    <mergeCell ref="G8:H8"/>
    <mergeCell ref="G9:H9"/>
    <mergeCell ref="G10:H10"/>
    <mergeCell ref="I29:J29"/>
    <mergeCell ref="I30:J30"/>
    <mergeCell ref="I31:J31"/>
    <mergeCell ref="I32:J32"/>
    <mergeCell ref="I33:J33"/>
    <mergeCell ref="I24:J24"/>
    <mergeCell ref="I25:J25"/>
    <mergeCell ref="I26:J26"/>
    <mergeCell ref="I27:J27"/>
    <mergeCell ref="I28:J28"/>
    <mergeCell ref="I39:J39"/>
    <mergeCell ref="I40:J40"/>
    <mergeCell ref="I41:J41"/>
    <mergeCell ref="I42:J42"/>
    <mergeCell ref="I43:J43"/>
    <mergeCell ref="I34:J34"/>
    <mergeCell ref="I35:J35"/>
    <mergeCell ref="I36:J36"/>
    <mergeCell ref="I37:J37"/>
    <mergeCell ref="I38:J38"/>
    <mergeCell ref="G50:H50"/>
    <mergeCell ref="I50:J50"/>
    <mergeCell ref="G51:H51"/>
    <mergeCell ref="I51:J51"/>
    <mergeCell ref="G52:H52"/>
    <mergeCell ref="I52:J52"/>
    <mergeCell ref="G47:H47"/>
    <mergeCell ref="I47:J47"/>
    <mergeCell ref="G48:H48"/>
    <mergeCell ref="I48:J48"/>
    <mergeCell ref="G49:H49"/>
    <mergeCell ref="I49:J49"/>
  </mergeCells>
  <dataValidations count="2">
    <dataValidation type="decimal" operator="greaterThan" allowBlank="1" showInputMessage="1" showErrorMessage="1" errorTitle="Invalid Calibration Factor" error="Please enter a valid calibration factor or leave the cell blank.  The value must be a decimal number greater than 0." sqref="G6:H43 G47:H52 G56:H73" xr:uid="{10AC7F89-2278-49FA-82D0-9EEAB5133FF3}">
      <formula1>0</formula1>
    </dataValidation>
    <dataValidation allowBlank="1" showInputMessage="1" showErrorMessage="1" errorTitle="Invalid CMF Input" error="Please enter a valid CMF or leave the cell blank.  The value must be a decimal number greater than 0." sqref="G77:H100" xr:uid="{14C96EF5-A6D3-4EE3-A8D0-95BC20A99DD3}"/>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ResetCalibrationSheet">
                <anchor moveWithCells="1" sizeWithCells="1">
                  <from>
                    <xdr:col>11</xdr:col>
                    <xdr:colOff>83820</xdr:colOff>
                    <xdr:row>3</xdr:row>
                    <xdr:rowOff>160020</xdr:rowOff>
                  </from>
                  <to>
                    <xdr:col>13</xdr:col>
                    <xdr:colOff>510540</xdr:colOff>
                    <xdr:row>5</xdr:row>
                    <xdr:rowOff>297180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tabColor rgb="FFFFFF00"/>
  </sheetPr>
  <dimension ref="A1:AC46"/>
  <sheetViews>
    <sheetView showGridLines="0" showRowColHeaders="0" zoomScaleNormal="100" workbookViewId="0">
      <selection activeCell="M24" sqref="M24"/>
    </sheetView>
  </sheetViews>
  <sheetFormatPr defaultColWidth="8.88671875" defaultRowHeight="14.4" x14ac:dyDescent="0.3"/>
  <cols>
    <col min="1" max="1" width="23.88671875" customWidth="1"/>
    <col min="2" max="2" width="16.6640625" customWidth="1"/>
    <col min="3" max="3" width="18.5546875" customWidth="1"/>
    <col min="4" max="4" width="23.88671875" customWidth="1"/>
    <col min="5" max="5" width="28.88671875" customWidth="1"/>
    <col min="6" max="6" width="18.5546875" hidden="1" customWidth="1"/>
    <col min="7" max="7" width="18" customWidth="1"/>
    <col min="8" max="8" width="21" customWidth="1"/>
    <col min="9" max="9" width="2.44140625" customWidth="1"/>
    <col min="10" max="13" width="11.33203125" customWidth="1"/>
    <col min="14" max="14" width="2.77734375" customWidth="1"/>
    <col min="15" max="15" width="0.6640625" customWidth="1"/>
    <col min="16" max="18" width="15.109375" hidden="1" customWidth="1"/>
    <col min="19" max="19" width="16.33203125" hidden="1" customWidth="1"/>
    <col min="20" max="20" width="15.109375" hidden="1" customWidth="1"/>
    <col min="21" max="24" width="9" hidden="1" customWidth="1"/>
    <col min="25" max="29" width="8.88671875" customWidth="1"/>
  </cols>
  <sheetData>
    <row r="1" spans="1:29" x14ac:dyDescent="0.3">
      <c r="A1" s="762" t="s">
        <v>93</v>
      </c>
      <c r="B1" s="763"/>
      <c r="C1" s="763"/>
      <c r="D1" s="763"/>
      <c r="E1" s="763"/>
      <c r="F1" s="763"/>
      <c r="G1" s="763"/>
      <c r="H1" s="764"/>
      <c r="I1" s="207"/>
      <c r="J1" s="207"/>
      <c r="K1" s="207"/>
      <c r="L1" s="207"/>
      <c r="M1" s="207"/>
      <c r="N1" s="208"/>
    </row>
    <row r="2" spans="1:29" x14ac:dyDescent="0.3">
      <c r="A2" s="765"/>
      <c r="B2" s="766"/>
      <c r="C2" s="766"/>
      <c r="D2" s="766"/>
      <c r="E2" s="766"/>
      <c r="F2" s="766"/>
      <c r="G2" s="766"/>
      <c r="H2" s="767"/>
      <c r="I2" s="2"/>
      <c r="J2" s="2"/>
      <c r="K2" s="2"/>
      <c r="L2" s="2"/>
      <c r="M2" s="2"/>
      <c r="N2" s="192"/>
    </row>
    <row r="3" spans="1:29" ht="14.4" customHeight="1" x14ac:dyDescent="0.3">
      <c r="A3" s="772" t="s">
        <v>83</v>
      </c>
      <c r="B3" s="773"/>
      <c r="C3" s="773"/>
      <c r="D3" s="773"/>
      <c r="E3" s="773"/>
      <c r="F3" s="773"/>
      <c r="G3" s="773"/>
      <c r="H3" s="774"/>
      <c r="I3" s="2"/>
      <c r="J3" s="2"/>
      <c r="K3" s="2"/>
      <c r="L3" s="2"/>
      <c r="M3" s="2"/>
      <c r="N3" s="192"/>
    </row>
    <row r="4" spans="1:29" ht="15" customHeight="1" thickBot="1" x14ac:dyDescent="0.35">
      <c r="A4" s="775" t="s">
        <v>114</v>
      </c>
      <c r="B4" s="776"/>
      <c r="C4" s="776"/>
      <c r="D4" s="776"/>
      <c r="E4" s="776"/>
      <c r="F4" s="776"/>
      <c r="G4" s="776"/>
      <c r="H4" s="777"/>
      <c r="I4" s="2"/>
      <c r="J4" s="2"/>
      <c r="K4" s="2"/>
      <c r="L4" s="2"/>
      <c r="M4" s="2"/>
      <c r="N4" s="192"/>
    </row>
    <row r="5" spans="1:29" ht="15" customHeight="1" x14ac:dyDescent="0.3">
      <c r="A5" s="752" t="s">
        <v>13</v>
      </c>
      <c r="B5" s="753"/>
      <c r="C5" s="753"/>
      <c r="D5" s="753"/>
      <c r="E5" s="753"/>
      <c r="F5" s="753"/>
      <c r="G5" s="753"/>
      <c r="H5" s="446"/>
      <c r="I5" s="2"/>
      <c r="J5" s="201"/>
      <c r="K5" s="202"/>
      <c r="L5" s="202"/>
      <c r="M5" s="203"/>
      <c r="N5" s="209"/>
    </row>
    <row r="6" spans="1:29" ht="15" customHeight="1" x14ac:dyDescent="0.3">
      <c r="A6" s="356" t="s">
        <v>7</v>
      </c>
      <c r="B6" s="780" t="str">
        <f>IF(ISBLANK('Project Information'!E4),"",'Project Information'!E4)</f>
        <v/>
      </c>
      <c r="C6" s="781"/>
      <c r="D6" s="781"/>
      <c r="E6" s="359" t="s">
        <v>106</v>
      </c>
      <c r="F6" s="197"/>
      <c r="G6" s="750" t="str">
        <f>'Control Strategy Selection'!D3</f>
        <v>At-Grade Intersections</v>
      </c>
      <c r="H6" s="751"/>
      <c r="I6" s="2"/>
      <c r="J6" s="204"/>
      <c r="K6" s="184"/>
      <c r="L6" s="184"/>
      <c r="M6" s="186"/>
      <c r="N6" s="209"/>
    </row>
    <row r="7" spans="1:29" ht="15" customHeight="1" x14ac:dyDescent="0.3">
      <c r="A7" s="357" t="s">
        <v>14</v>
      </c>
      <c r="B7" s="780" t="str">
        <f>IF(ISBLANK('Project Information'!E5),"",'Project Information'!E5)</f>
        <v/>
      </c>
      <c r="C7" s="781"/>
      <c r="D7" s="781"/>
      <c r="E7" s="360" t="s">
        <v>85</v>
      </c>
      <c r="F7" s="198"/>
      <c r="G7" s="750">
        <f>'Control Strategy Selection'!D5</f>
        <v>0</v>
      </c>
      <c r="H7" s="751"/>
      <c r="I7" s="2"/>
      <c r="J7" s="204"/>
      <c r="K7" s="184"/>
      <c r="L7" s="184"/>
      <c r="M7" s="186"/>
      <c r="N7" s="209"/>
    </row>
    <row r="8" spans="1:29" ht="15" customHeight="1" x14ac:dyDescent="0.3">
      <c r="A8" s="357" t="s">
        <v>15</v>
      </c>
      <c r="B8" s="780" t="str">
        <f>IF(ISBLANK('Project Information'!E6),"",'Project Information'!E6)</f>
        <v/>
      </c>
      <c r="C8" s="781"/>
      <c r="D8" s="781"/>
      <c r="E8" s="360" t="s">
        <v>86</v>
      </c>
      <c r="F8" s="198"/>
      <c r="G8" s="750" t="str">
        <f>IF(Input_AnalysisYearType=Notes!A12,'Control Strategy Selection'!D6,"--")</f>
        <v>--</v>
      </c>
      <c r="H8" s="751"/>
      <c r="I8" s="2"/>
      <c r="J8" s="204"/>
      <c r="K8" s="184"/>
      <c r="L8" s="184"/>
      <c r="M8" s="186"/>
      <c r="N8" s="209"/>
    </row>
    <row r="9" spans="1:29" ht="15" customHeight="1" x14ac:dyDescent="0.3">
      <c r="A9" s="357" t="s">
        <v>8</v>
      </c>
      <c r="B9" s="780" t="str">
        <f>IF(ISBLANK('Project Information'!E7),"",'Project Information'!E7)</f>
        <v/>
      </c>
      <c r="C9" s="781"/>
      <c r="D9" s="781"/>
      <c r="E9" s="360" t="s">
        <v>36</v>
      </c>
      <c r="F9" s="198"/>
      <c r="G9" s="750" t="str">
        <f>'Control Strategy Selection'!D7</f>
        <v>On Urban and Suburban Arterial</v>
      </c>
      <c r="H9" s="751"/>
      <c r="I9" s="2"/>
      <c r="J9" s="204"/>
      <c r="K9" s="184"/>
      <c r="L9" s="184"/>
      <c r="M9" s="186"/>
      <c r="N9" s="209"/>
    </row>
    <row r="10" spans="1:29" ht="15" customHeight="1" x14ac:dyDescent="0.3">
      <c r="A10" s="357" t="s">
        <v>9</v>
      </c>
      <c r="B10" s="780" t="str">
        <f>IF(ISBLANK('Project Information'!E8),"",'Project Information'!E8)</f>
        <v/>
      </c>
      <c r="C10" s="781"/>
      <c r="D10" s="781"/>
      <c r="E10" s="360" t="s">
        <v>74</v>
      </c>
      <c r="F10" s="198"/>
      <c r="G10" s="750" t="str">
        <f>'Control Strategy Selection'!D9</f>
        <v>3-leg</v>
      </c>
      <c r="H10" s="751"/>
      <c r="I10" s="2"/>
      <c r="J10" s="204"/>
      <c r="K10" s="184"/>
      <c r="L10" s="184"/>
      <c r="M10" s="186"/>
      <c r="N10" s="209"/>
      <c r="S10" s="34"/>
      <c r="T10" s="34"/>
      <c r="U10" s="34"/>
      <c r="V10" s="34"/>
      <c r="W10" s="34"/>
      <c r="X10" s="34"/>
      <c r="Y10" s="34"/>
      <c r="Z10" s="34"/>
      <c r="AA10" s="34"/>
    </row>
    <row r="11" spans="1:29" ht="15" customHeight="1" x14ac:dyDescent="0.3">
      <c r="A11" s="357" t="s">
        <v>10</v>
      </c>
      <c r="B11" s="780" t="str">
        <f>IF(ISBLANK('Project Information'!E9),"",'Project Information'!E9)</f>
        <v/>
      </c>
      <c r="C11" s="781"/>
      <c r="D11" s="781"/>
      <c r="E11" s="361" t="s">
        <v>185</v>
      </c>
      <c r="F11" s="198"/>
      <c r="G11" s="754" t="str">
        <f>'Control Strategy Selection'!D10</f>
        <v>2-way Intersecting 2-way</v>
      </c>
      <c r="H11" s="755"/>
      <c r="I11" s="2"/>
      <c r="J11" s="792" t="str">
        <f>IF(OR(OR(ISBLANK('Control Strategy Selection'!D5),ISBLANK('Control Strategy Selection'!D13),ISBLANK('Control Strategy Selection'!D14)),IF('Control Strategy Selection'!D4=Label_AnalysisYearType_OpenAndDesign,OR(ISBLANK('Control Strategy Selection'!D6),ISBLANK('Control Strategy Selection'!D15),ISBLANK('Control Strategy Selection'!D16)),FALSE)),"Please complete the Opening/Design Year Inputs and AADTs Before Viewing Results","")</f>
        <v>Please complete the Opening/Design Year Inputs and AADTs Before Viewing Results</v>
      </c>
      <c r="K11" s="793"/>
      <c r="L11" s="793"/>
      <c r="M11" s="794"/>
      <c r="N11" s="209"/>
      <c r="S11" s="34"/>
      <c r="T11" s="34"/>
      <c r="U11" s="34"/>
      <c r="V11" s="34"/>
      <c r="W11" s="34"/>
      <c r="X11" s="34"/>
      <c r="Y11" s="34"/>
      <c r="Z11" s="34"/>
      <c r="AA11" s="34"/>
    </row>
    <row r="12" spans="1:29" ht="15" customHeight="1" x14ac:dyDescent="0.3">
      <c r="A12" s="357" t="s">
        <v>11</v>
      </c>
      <c r="B12" s="782" t="str">
        <f>IF(ISBLANK('Project Information'!E10),"",'Project Information'!E10)</f>
        <v/>
      </c>
      <c r="C12" s="783"/>
      <c r="D12" s="783"/>
      <c r="E12" s="361" t="s">
        <v>401</v>
      </c>
      <c r="F12" s="198"/>
      <c r="G12" s="756" t="str">
        <f>'Control Strategy Selection'!D11</f>
        <v>5 or fewer</v>
      </c>
      <c r="H12" s="757"/>
      <c r="I12" s="2"/>
      <c r="J12" s="792"/>
      <c r="K12" s="793"/>
      <c r="L12" s="793"/>
      <c r="M12" s="794"/>
      <c r="N12" s="209"/>
      <c r="S12" s="34"/>
      <c r="T12" s="34"/>
      <c r="U12" s="34"/>
      <c r="V12" s="34"/>
      <c r="W12" s="34"/>
      <c r="X12" s="34"/>
      <c r="Y12" s="34"/>
      <c r="Z12" s="34"/>
      <c r="AA12" s="34"/>
    </row>
    <row r="13" spans="1:29" ht="15.75" customHeight="1" thickBot="1" x14ac:dyDescent="0.35">
      <c r="A13" s="358" t="s">
        <v>12</v>
      </c>
      <c r="B13" s="778" t="str">
        <f>IF(ISBLANK('Project Information'!E11),"",'Project Information'!E11)</f>
        <v/>
      </c>
      <c r="C13" s="779"/>
      <c r="D13" s="779"/>
      <c r="E13" s="362" t="s">
        <v>148</v>
      </c>
      <c r="F13" s="199"/>
      <c r="G13" s="800" t="str">
        <f>'Control Strategy Selection'!D12</f>
        <v>Less than 55 mph</v>
      </c>
      <c r="H13" s="801"/>
      <c r="I13" s="2"/>
      <c r="J13" s="795"/>
      <c r="K13" s="796"/>
      <c r="L13" s="796"/>
      <c r="M13" s="797"/>
      <c r="N13" s="209"/>
      <c r="S13" s="34"/>
      <c r="T13" s="34"/>
      <c r="U13" s="34"/>
      <c r="V13" s="34"/>
      <c r="W13" s="34"/>
      <c r="X13" s="34"/>
      <c r="Y13" s="34"/>
      <c r="Z13" s="34"/>
      <c r="AA13" s="34"/>
      <c r="AB13" s="34"/>
      <c r="AC13" s="34"/>
    </row>
    <row r="14" spans="1:29" ht="15" thickBot="1" x14ac:dyDescent="0.35">
      <c r="A14" s="768" t="s">
        <v>84</v>
      </c>
      <c r="B14" s="769"/>
      <c r="C14" s="770"/>
      <c r="D14" s="770"/>
      <c r="E14" s="769"/>
      <c r="F14" s="769"/>
      <c r="G14" s="769"/>
      <c r="H14" s="771"/>
      <c r="I14" s="2"/>
      <c r="J14" s="2"/>
      <c r="K14" s="2"/>
      <c r="L14" s="2"/>
      <c r="M14" s="2"/>
      <c r="N14" s="192"/>
      <c r="S14" s="34"/>
      <c r="T14" s="34"/>
      <c r="U14" s="34"/>
      <c r="V14" s="34"/>
      <c r="W14" s="34"/>
      <c r="X14" s="34"/>
      <c r="Y14" s="34"/>
      <c r="Z14" s="34"/>
      <c r="AA14" s="34"/>
      <c r="AB14" s="34"/>
      <c r="AC14" s="34"/>
    </row>
    <row r="15" spans="1:29" ht="31.2" customHeight="1" x14ac:dyDescent="0.3">
      <c r="A15" s="351" t="s">
        <v>139</v>
      </c>
      <c r="B15" s="352" t="s">
        <v>168</v>
      </c>
      <c r="C15" s="353" t="s">
        <v>85</v>
      </c>
      <c r="D15" s="353" t="s">
        <v>86</v>
      </c>
      <c r="E15" s="354" t="s">
        <v>87</v>
      </c>
      <c r="F15" s="355" t="s">
        <v>188</v>
      </c>
      <c r="G15" s="798" t="s">
        <v>349</v>
      </c>
      <c r="H15" s="799"/>
      <c r="I15" s="2"/>
      <c r="J15" s="173"/>
      <c r="K15" s="173"/>
      <c r="L15" s="3"/>
      <c r="M15" s="2"/>
      <c r="N15" s="192"/>
      <c r="P15" s="34" t="s">
        <v>194</v>
      </c>
      <c r="Q15" s="34"/>
      <c r="R15" s="34" t="s">
        <v>283</v>
      </c>
      <c r="S15" s="36" t="s">
        <v>117</v>
      </c>
      <c r="T15" s="36" t="s">
        <v>189</v>
      </c>
      <c r="U15" s="40" t="b">
        <v>0</v>
      </c>
      <c r="V15" s="41"/>
      <c r="W15" s="41"/>
      <c r="X15" s="41"/>
      <c r="Y15" s="34"/>
      <c r="Z15" s="34"/>
      <c r="AA15" s="34"/>
      <c r="AB15" s="34"/>
      <c r="AC15" s="34"/>
    </row>
    <row r="16" spans="1:29" ht="14.4" customHeight="1" x14ac:dyDescent="0.3">
      <c r="A16" s="785" t="str">
        <f>Label_AGI_1LnRdbt</f>
        <v>1-lane Roundabout</v>
      </c>
      <c r="B16" s="341" t="s">
        <v>117</v>
      </c>
      <c r="C16" s="342"/>
      <c r="D16" s="343"/>
      <c r="E16" s="343"/>
      <c r="F16" s="784" t="str">
        <f>IF(OR(AND(ISNUMBER(C16),C16&gt;0),AND(ISNUMBER(E16),E16&gt;0)),X16,"--")</f>
        <v>--</v>
      </c>
      <c r="G16" s="758" t="s">
        <v>141</v>
      </c>
      <c r="H16" s="759"/>
      <c r="I16" s="2"/>
      <c r="J16" s="2"/>
      <c r="K16" s="2"/>
      <c r="L16" s="2"/>
      <c r="M16" s="2"/>
      <c r="N16" s="192"/>
      <c r="P16" s="35">
        <f>IF(Input_AnalysisYearType=Notes!$A$11,Results!C16,Results!E16)</f>
        <v>0</v>
      </c>
      <c r="Q16" s="35">
        <f>IF(Input_AnalysisYearType=Notes!$A$11,Results!C17,Results!E17)</f>
        <v>0</v>
      </c>
      <c r="R16" s="35" t="b">
        <f>IsChecked_AGI_TrafficSignal</f>
        <v>1</v>
      </c>
      <c r="S16" s="42">
        <f t="shared" ref="S16:S29" si="0">IF(AND(P16&gt;0,R16),P16,99999999999)</f>
        <v>99999999999</v>
      </c>
      <c r="T16" s="42">
        <f t="shared" ref="T16:T29" si="1">IF(AND(Q16&gt;0,R16),Q16,99999999999)</f>
        <v>99999999999</v>
      </c>
      <c r="U16" s="41">
        <f>RANK(S16,$S$16:$S$29,1)</f>
        <v>1</v>
      </c>
      <c r="V16" s="41">
        <f>RANK(T16,$T$16:$T$29,1)</f>
        <v>1</v>
      </c>
      <c r="W16" s="41">
        <f t="shared" ref="W16:W27" si="2">IF($U$15,U16+0.01*V16,V16+0.01*U16)</f>
        <v>1.01</v>
      </c>
      <c r="X16" s="41">
        <f>RANK(W16,$W$16:$W$29,1)</f>
        <v>1</v>
      </c>
      <c r="Y16" s="34"/>
      <c r="Z16" s="34"/>
      <c r="AA16" s="34"/>
      <c r="AB16" s="34"/>
      <c r="AC16" s="34"/>
    </row>
    <row r="17" spans="1:29" ht="14.4" customHeight="1" x14ac:dyDescent="0.3">
      <c r="A17" s="785"/>
      <c r="B17" s="341" t="s">
        <v>169</v>
      </c>
      <c r="C17" s="344"/>
      <c r="D17" s="345"/>
      <c r="E17" s="345"/>
      <c r="F17" s="784"/>
      <c r="G17" s="760"/>
      <c r="H17" s="761"/>
      <c r="I17" s="2"/>
      <c r="J17" s="2"/>
      <c r="K17" s="2"/>
      <c r="L17" s="2"/>
      <c r="M17" s="2"/>
      <c r="N17" s="192"/>
      <c r="P17" s="35">
        <f>IF(Input_AnalysisYearType=Notes!$A$11,Results!C18,Results!E18)</f>
        <v>0</v>
      </c>
      <c r="Q17" s="35">
        <f>IF(Input_AnalysisYearType=Notes!$A$11,Results!C19,Results!E19)</f>
        <v>0</v>
      </c>
      <c r="R17" s="35" t="b">
        <f>IsChecked_AGI_TrafficSignal2</f>
        <v>1</v>
      </c>
      <c r="S17" s="42">
        <f t="shared" si="0"/>
        <v>99999999999</v>
      </c>
      <c r="T17" s="42">
        <f t="shared" si="1"/>
        <v>99999999999</v>
      </c>
      <c r="U17" s="41">
        <f t="shared" ref="U17:U29" si="3">RANK(S17,$S$16:$S$29,1)</f>
        <v>1</v>
      </c>
      <c r="V17" s="41">
        <f t="shared" ref="V17:V29" si="4">RANK(T17,$T$16:$T$29,1)</f>
        <v>1</v>
      </c>
      <c r="W17" s="41">
        <f t="shared" si="2"/>
        <v>1.01</v>
      </c>
      <c r="X17" s="41">
        <f t="shared" ref="X17:X29" si="5">RANK(W17,$W$16:$W$29,1)</f>
        <v>1</v>
      </c>
      <c r="Y17" s="34"/>
      <c r="Z17" s="34"/>
      <c r="AA17" s="34"/>
      <c r="AB17" s="34"/>
      <c r="AC17" s="34"/>
    </row>
    <row r="18" spans="1:29" ht="15.75" customHeight="1" x14ac:dyDescent="0.3">
      <c r="A18" s="785" t="str">
        <f>Label_AGI_2LnRdbt</f>
        <v>2-lane Roundabout</v>
      </c>
      <c r="B18" s="346" t="s">
        <v>117</v>
      </c>
      <c r="C18" s="342"/>
      <c r="D18" s="343"/>
      <c r="E18" s="347"/>
      <c r="F18" s="784" t="str">
        <f>IF(OR(AND(ISNUMBER(C18),C18&gt;0),AND(ISNUMBER(E18),E18&gt;0)),X17,"--")</f>
        <v>--</v>
      </c>
      <c r="G18" s="758" t="s">
        <v>141</v>
      </c>
      <c r="H18" s="759"/>
      <c r="I18" s="2"/>
      <c r="J18" s="2"/>
      <c r="K18" s="2"/>
      <c r="L18" s="2"/>
      <c r="M18" s="2"/>
      <c r="N18" s="192"/>
      <c r="P18" s="35">
        <f>IF(Input_AnalysisYearType=Notes!$A$11,Results!C20,Results!E20)</f>
        <v>0</v>
      </c>
      <c r="Q18" s="35">
        <f>IF(Input_AnalysisYearType=Notes!$A$11,Results!C21,Results!E21)</f>
        <v>0</v>
      </c>
      <c r="R18" s="35" t="b">
        <f>IsChecked_AGI_MinorStop</f>
        <v>1</v>
      </c>
      <c r="S18" s="42">
        <f t="shared" si="0"/>
        <v>99999999999</v>
      </c>
      <c r="T18" s="42">
        <f t="shared" si="1"/>
        <v>99999999999</v>
      </c>
      <c r="U18" s="41">
        <f t="shared" si="3"/>
        <v>1</v>
      </c>
      <c r="V18" s="41">
        <f t="shared" si="4"/>
        <v>1</v>
      </c>
      <c r="W18" s="41">
        <f t="shared" si="2"/>
        <v>1.01</v>
      </c>
      <c r="X18" s="41">
        <f t="shared" si="5"/>
        <v>1</v>
      </c>
      <c r="Y18" s="34"/>
      <c r="Z18" s="34"/>
      <c r="AA18" s="34"/>
      <c r="AB18" s="34"/>
      <c r="AC18" s="34"/>
    </row>
    <row r="19" spans="1:29" ht="15.75" customHeight="1" x14ac:dyDescent="0.3">
      <c r="A19" s="785"/>
      <c r="B19" s="346" t="s">
        <v>169</v>
      </c>
      <c r="C19" s="344"/>
      <c r="D19" s="345"/>
      <c r="E19" s="348"/>
      <c r="F19" s="784"/>
      <c r="G19" s="760"/>
      <c r="H19" s="761"/>
      <c r="I19" s="2"/>
      <c r="J19" s="2"/>
      <c r="K19" s="2"/>
      <c r="L19" s="2"/>
      <c r="M19" s="2"/>
      <c r="N19" s="192"/>
      <c r="P19" s="35">
        <f>IF(Input_AnalysisYearType=Notes!$A$11,Results!C22,Results!E22)</f>
        <v>0</v>
      </c>
      <c r="Q19" s="35">
        <f>IF(Input_AnalysisYearType=Notes!$A$11,Results!C23,Results!E23)</f>
        <v>0</v>
      </c>
      <c r="R19" s="35" t="b">
        <f>IsChecked_AGI_AllStop</f>
        <v>0</v>
      </c>
      <c r="S19" s="42">
        <f t="shared" si="0"/>
        <v>99999999999</v>
      </c>
      <c r="T19" s="42">
        <f t="shared" si="1"/>
        <v>99999999999</v>
      </c>
      <c r="U19" s="41">
        <f t="shared" si="3"/>
        <v>1</v>
      </c>
      <c r="V19" s="41">
        <f t="shared" si="4"/>
        <v>1</v>
      </c>
      <c r="W19" s="41">
        <f t="shared" si="2"/>
        <v>1.01</v>
      </c>
      <c r="X19" s="41">
        <f t="shared" si="5"/>
        <v>1</v>
      </c>
      <c r="Y19" s="34"/>
      <c r="Z19" s="34"/>
      <c r="AA19" s="34"/>
      <c r="AB19" s="34"/>
      <c r="AC19" s="34"/>
    </row>
    <row r="20" spans="1:29" ht="14.4" customHeight="1" x14ac:dyDescent="0.3">
      <c r="A20" s="785" t="str">
        <f>Label_AGI_MinorStop</f>
        <v>Minor Road Stop</v>
      </c>
      <c r="B20" s="346" t="s">
        <v>117</v>
      </c>
      <c r="C20" s="342"/>
      <c r="D20" s="343"/>
      <c r="E20" s="343"/>
      <c r="F20" s="784" t="str">
        <f>IF(OR(AND(ISNUMBER(C20),C20&gt;0),AND(ISNUMBER(E20),E20&gt;0)),X18,"--")</f>
        <v>--</v>
      </c>
      <c r="G20" s="758" t="str">
        <f>IF(IF(Input_AnalysisYearType=Label_AnalysisYearType_OpenAndDesign,AND('Control Strategy Selection'!O21:P21),'Control Strategy Selection'!O21),"Yes","No")</f>
        <v>Yes</v>
      </c>
      <c r="H20" s="759"/>
      <c r="I20" s="2"/>
      <c r="J20" s="2"/>
      <c r="K20" s="2"/>
      <c r="L20" s="2"/>
      <c r="M20" s="2"/>
      <c r="N20" s="192"/>
      <c r="P20" s="35">
        <f>IF(Input_AnalysisYearType=Notes!$A$11,Results!C24,Results!E24)</f>
        <v>0</v>
      </c>
      <c r="Q20" s="35">
        <f>IF(Input_AnalysisYearType=Notes!$A$11,Results!C25,Results!E25)</f>
        <v>0</v>
      </c>
      <c r="R20" s="35" t="b">
        <f>IsChecked_AGI_Rdbt1Ln</f>
        <v>1</v>
      </c>
      <c r="S20" s="42">
        <f t="shared" si="0"/>
        <v>99999999999</v>
      </c>
      <c r="T20" s="42">
        <f t="shared" si="1"/>
        <v>99999999999</v>
      </c>
      <c r="U20" s="41">
        <f t="shared" si="3"/>
        <v>1</v>
      </c>
      <c r="V20" s="41">
        <f t="shared" si="4"/>
        <v>1</v>
      </c>
      <c r="W20" s="41">
        <f t="shared" si="2"/>
        <v>1.01</v>
      </c>
      <c r="X20" s="41">
        <f t="shared" si="5"/>
        <v>1</v>
      </c>
      <c r="Y20" s="34"/>
      <c r="Z20" s="34"/>
      <c r="AA20" s="34"/>
      <c r="AB20" s="34"/>
      <c r="AC20" s="34"/>
    </row>
    <row r="21" spans="1:29" ht="15.75" customHeight="1" x14ac:dyDescent="0.3">
      <c r="A21" s="785"/>
      <c r="B21" s="346" t="s">
        <v>169</v>
      </c>
      <c r="C21" s="344"/>
      <c r="D21" s="345"/>
      <c r="E21" s="345"/>
      <c r="F21" s="784"/>
      <c r="G21" s="760"/>
      <c r="H21" s="761"/>
      <c r="I21" s="2"/>
      <c r="J21" s="2"/>
      <c r="K21" s="2"/>
      <c r="L21" s="2"/>
      <c r="M21" s="2"/>
      <c r="N21" s="192"/>
      <c r="P21" s="35">
        <f>IF(Input_AnalysisYearType=Notes!$A$11,Results!C26,Results!E26)</f>
        <v>0</v>
      </c>
      <c r="Q21" s="35">
        <f>IF(Input_AnalysisYearType=Notes!$A$11,Results!C27,Results!E27)</f>
        <v>0</v>
      </c>
      <c r="R21" s="35" t="b">
        <f>IsChecked_AGI_Rdbt2Ln</f>
        <v>1</v>
      </c>
      <c r="S21" s="42">
        <f t="shared" si="0"/>
        <v>99999999999</v>
      </c>
      <c r="T21" s="42">
        <f t="shared" si="1"/>
        <v>99999999999</v>
      </c>
      <c r="U21" s="41">
        <f t="shared" si="3"/>
        <v>1</v>
      </c>
      <c r="V21" s="41">
        <f t="shared" si="4"/>
        <v>1</v>
      </c>
      <c r="W21" s="41">
        <f t="shared" si="2"/>
        <v>1.01</v>
      </c>
      <c r="X21" s="41">
        <f t="shared" si="5"/>
        <v>1</v>
      </c>
      <c r="Y21" s="34"/>
      <c r="Z21" s="34"/>
      <c r="AA21" s="34"/>
      <c r="AB21" s="34"/>
      <c r="AC21" s="34"/>
    </row>
    <row r="22" spans="1:29" ht="15" hidden="1" customHeight="1" x14ac:dyDescent="0.3">
      <c r="A22" s="790" t="str">
        <f>Label_AGI_AllStop</f>
        <v>All Way Stop</v>
      </c>
      <c r="B22" s="205" t="s">
        <v>117</v>
      </c>
      <c r="C22" s="206"/>
      <c r="D22" s="200"/>
      <c r="E22" s="200"/>
      <c r="F22" s="788" t="str">
        <f>IF(OR(AND(ISNUMBER(C22),C22&gt;0),AND(ISNUMBER(E22),E22&gt;0)),X19,"--")</f>
        <v>--</v>
      </c>
      <c r="G22" s="786" t="s">
        <v>141</v>
      </c>
      <c r="H22" s="787"/>
      <c r="I22" s="2"/>
      <c r="J22" s="2"/>
      <c r="K22" s="2"/>
      <c r="L22" s="2"/>
      <c r="M22" s="2"/>
      <c r="N22" s="192"/>
      <c r="P22" s="35">
        <f>IF(Input_AnalysisYearType=Notes!$A$11,Results!C28,Results!E28)</f>
        <v>0</v>
      </c>
      <c r="Q22" s="35">
        <f>IF(Input_AnalysisYearType=Notes!$A$11,Results!C29,Results!E29)</f>
        <v>0</v>
      </c>
      <c r="R22" s="35" t="b">
        <f>IsChecked_AGI_DLT</f>
        <v>1</v>
      </c>
      <c r="S22" s="42">
        <f t="shared" si="0"/>
        <v>99999999999</v>
      </c>
      <c r="T22" s="42">
        <f t="shared" si="1"/>
        <v>99999999999</v>
      </c>
      <c r="U22" s="41">
        <f t="shared" si="3"/>
        <v>1</v>
      </c>
      <c r="V22" s="41">
        <f t="shared" si="4"/>
        <v>1</v>
      </c>
      <c r="W22" s="41">
        <f t="shared" si="2"/>
        <v>1.01</v>
      </c>
      <c r="X22" s="41">
        <f t="shared" si="5"/>
        <v>1</v>
      </c>
      <c r="Y22" s="34"/>
      <c r="Z22" s="34"/>
      <c r="AA22" s="34"/>
      <c r="AB22" s="34"/>
      <c r="AC22" s="34"/>
    </row>
    <row r="23" spans="1:29" ht="14.4" hidden="1" customHeight="1" x14ac:dyDescent="0.3">
      <c r="A23" s="791"/>
      <c r="B23" s="349" t="s">
        <v>169</v>
      </c>
      <c r="C23" s="206"/>
      <c r="D23" s="200"/>
      <c r="E23" s="200"/>
      <c r="F23" s="789"/>
      <c r="G23" s="786"/>
      <c r="H23" s="787"/>
      <c r="I23" s="2"/>
      <c r="J23" s="2"/>
      <c r="K23" s="2"/>
      <c r="L23" s="2"/>
      <c r="M23" s="2"/>
      <c r="N23" s="192"/>
      <c r="P23" s="35">
        <f>IF(Input_AnalysisYearType=Notes!$A$11,Results!C30,Results!E30)</f>
        <v>0</v>
      </c>
      <c r="Q23" s="35">
        <f>IF(Input_AnalysisYearType=Notes!$A$11,Results!C31,Results!E31)</f>
        <v>0</v>
      </c>
      <c r="R23" s="35" t="b">
        <f>IsChecked_AGI_MUT</f>
        <v>1</v>
      </c>
      <c r="S23" s="42">
        <f t="shared" si="0"/>
        <v>99999999999</v>
      </c>
      <c r="T23" s="42">
        <f t="shared" si="1"/>
        <v>99999999999</v>
      </c>
      <c r="U23" s="41">
        <f t="shared" si="3"/>
        <v>1</v>
      </c>
      <c r="V23" s="41">
        <f t="shared" si="4"/>
        <v>1</v>
      </c>
      <c r="W23" s="41">
        <f t="shared" si="2"/>
        <v>1.01</v>
      </c>
      <c r="X23" s="41">
        <f t="shared" si="5"/>
        <v>1</v>
      </c>
      <c r="Y23" s="34"/>
      <c r="Z23" s="34"/>
      <c r="AA23" s="34"/>
      <c r="AB23" s="34"/>
      <c r="AC23" s="34"/>
    </row>
    <row r="24" spans="1:29" ht="14.4" customHeight="1" x14ac:dyDescent="0.3">
      <c r="A24" s="785" t="str">
        <f>Label_AGI_TrafficSignal</f>
        <v>Traffic Signal</v>
      </c>
      <c r="B24" s="346" t="s">
        <v>117</v>
      </c>
      <c r="C24" s="342"/>
      <c r="D24" s="343"/>
      <c r="E24" s="343"/>
      <c r="F24" s="784" t="str">
        <f>IF(OR(AND(ISNUMBER(C24),C24&gt;0),AND(ISNUMBER(E24),E24&gt;0)),X20,"--")</f>
        <v>--</v>
      </c>
      <c r="G24" s="758" t="str">
        <f>IF(IF(Input_AnalysisYearType=Label_AnalysisYearType_OpenAndDesign,AND('Control Strategy Selection'!O19:P19),'Control Strategy Selection'!O19),"Yes","No")</f>
        <v>Yes</v>
      </c>
      <c r="H24" s="759"/>
      <c r="I24" s="2"/>
      <c r="J24" s="2"/>
      <c r="K24" s="2"/>
      <c r="L24" s="2"/>
      <c r="M24" s="2"/>
      <c r="N24" s="192"/>
      <c r="P24" s="35">
        <f>IF(Input_AnalysisYearType=Notes!$A$11,Results!C32,Results!E32)</f>
        <v>0</v>
      </c>
      <c r="Q24" s="35">
        <f>IF(Input_AnalysisYearType=Notes!$A$11,Results!C33,Results!E33)</f>
        <v>0</v>
      </c>
      <c r="R24" s="35" t="b">
        <f>IsChecked_AGI_RCUTSig</f>
        <v>1</v>
      </c>
      <c r="S24" s="42">
        <f t="shared" si="0"/>
        <v>99999999999</v>
      </c>
      <c r="T24" s="42">
        <f t="shared" si="1"/>
        <v>99999999999</v>
      </c>
      <c r="U24" s="41">
        <f t="shared" si="3"/>
        <v>1</v>
      </c>
      <c r="V24" s="41">
        <f t="shared" si="4"/>
        <v>1</v>
      </c>
      <c r="W24" s="41">
        <f t="shared" si="2"/>
        <v>1.01</v>
      </c>
      <c r="X24" s="41">
        <f t="shared" si="5"/>
        <v>1</v>
      </c>
      <c r="Y24" s="34"/>
      <c r="Z24" s="34"/>
      <c r="AA24" s="34"/>
      <c r="AB24" s="34"/>
      <c r="AC24" s="34"/>
    </row>
    <row r="25" spans="1:29" ht="14.4" customHeight="1" x14ac:dyDescent="0.3">
      <c r="A25" s="785"/>
      <c r="B25" s="346" t="s">
        <v>169</v>
      </c>
      <c r="C25" s="344"/>
      <c r="D25" s="345"/>
      <c r="E25" s="345"/>
      <c r="F25" s="784"/>
      <c r="G25" s="760"/>
      <c r="H25" s="761"/>
      <c r="I25" s="2"/>
      <c r="J25" s="2"/>
      <c r="K25" s="2"/>
      <c r="L25" s="2"/>
      <c r="M25" s="2"/>
      <c r="N25" s="192"/>
      <c r="P25" s="35">
        <f>IF(Input_AnalysisYearType=Notes!$A$11,Results!C34,Results!E34)</f>
        <v>0</v>
      </c>
      <c r="Q25" s="35">
        <f>IF(Input_AnalysisYearType=Notes!$A$11,Results!C35,Results!E35)</f>
        <v>0</v>
      </c>
      <c r="R25" s="35" t="b">
        <f>IsChecked_AGI_RCUTUnsig</f>
        <v>1</v>
      </c>
      <c r="S25" s="42">
        <f t="shared" si="0"/>
        <v>99999999999</v>
      </c>
      <c r="T25" s="42">
        <f t="shared" si="1"/>
        <v>99999999999</v>
      </c>
      <c r="U25" s="41">
        <f t="shared" si="3"/>
        <v>1</v>
      </c>
      <c r="V25" s="41">
        <f t="shared" si="4"/>
        <v>1</v>
      </c>
      <c r="W25" s="41">
        <f t="shared" si="2"/>
        <v>1.01</v>
      </c>
      <c r="X25" s="41">
        <f t="shared" si="5"/>
        <v>1</v>
      </c>
      <c r="Y25" s="34"/>
      <c r="Z25" s="34"/>
      <c r="AA25" s="34"/>
      <c r="AB25" s="34"/>
      <c r="AC25" s="34"/>
    </row>
    <row r="26" spans="1:29" ht="16.5" customHeight="1" x14ac:dyDescent="0.3">
      <c r="A26" s="785" t="str">
        <f>Label_AGI_TrafficSignal&amp;" (Alt)"</f>
        <v>Traffic Signal (Alt)</v>
      </c>
      <c r="B26" s="346" t="s">
        <v>117</v>
      </c>
      <c r="C26" s="342"/>
      <c r="D26" s="343"/>
      <c r="E26" s="343"/>
      <c r="F26" s="784" t="str">
        <f>IF(OR(AND(ISNUMBER(C26),C26&gt;0),AND(ISNUMBER(E26),E26&gt;0)),X21,"--")</f>
        <v>--</v>
      </c>
      <c r="G26" s="758" t="str">
        <f>IF(IF(Input_AnalysisYearType=Label_AnalysisYearType_OpenAndDesign,AND('Control Strategy Selection'!O20:P20),'Control Strategy Selection'!O20),"Yes","No")</f>
        <v>Yes</v>
      </c>
      <c r="H26" s="759"/>
      <c r="I26" s="2"/>
      <c r="J26" s="2"/>
      <c r="K26" s="2"/>
      <c r="L26" s="2"/>
      <c r="M26" s="2"/>
      <c r="N26" s="192"/>
      <c r="P26" s="35">
        <f>IF(Input_AnalysisYearType=Notes!$A$11,Results!C36,Results!E36)</f>
        <v>0</v>
      </c>
      <c r="Q26" s="35">
        <f>IF(Input_AnalysisYearType=Notes!$A$11,Results!C37,Results!E37)</f>
        <v>0</v>
      </c>
      <c r="R26" s="35" t="b">
        <f>IsChecked_AGI_GreenT</f>
        <v>1</v>
      </c>
      <c r="S26" s="42">
        <f t="shared" si="0"/>
        <v>99999999999</v>
      </c>
      <c r="T26" s="42">
        <f t="shared" si="1"/>
        <v>99999999999</v>
      </c>
      <c r="U26" s="41">
        <f t="shared" si="3"/>
        <v>1</v>
      </c>
      <c r="V26" s="41">
        <f t="shared" si="4"/>
        <v>1</v>
      </c>
      <c r="W26" s="41">
        <f t="shared" si="2"/>
        <v>1.01</v>
      </c>
      <c r="X26" s="41">
        <f t="shared" si="5"/>
        <v>1</v>
      </c>
      <c r="Y26" s="34"/>
      <c r="Z26" s="34"/>
      <c r="AA26" s="34"/>
      <c r="AB26" s="34"/>
      <c r="AC26" s="34"/>
    </row>
    <row r="27" spans="1:29" ht="15" customHeight="1" x14ac:dyDescent="0.3">
      <c r="A27" s="785"/>
      <c r="B27" s="346" t="s">
        <v>169</v>
      </c>
      <c r="C27" s="344"/>
      <c r="D27" s="345"/>
      <c r="E27" s="345"/>
      <c r="F27" s="784"/>
      <c r="G27" s="760"/>
      <c r="H27" s="761"/>
      <c r="I27" s="2"/>
      <c r="J27" s="2"/>
      <c r="K27" s="2"/>
      <c r="L27" s="2"/>
      <c r="M27" s="2"/>
      <c r="N27" s="192"/>
      <c r="P27" s="35">
        <f>IF(Input_AnalysisYearType=Notes!$A$11,Results!C38,Results!E38)</f>
        <v>0</v>
      </c>
      <c r="Q27" s="35">
        <f>IF(Input_AnalysisYearType=Notes!$A$11,Results!C39,Results!E39)</f>
        <v>0</v>
      </c>
      <c r="R27" s="35" t="b">
        <f>IsChecked_AGI_Jughandle</f>
        <v>0</v>
      </c>
      <c r="S27" s="42">
        <f t="shared" si="0"/>
        <v>99999999999</v>
      </c>
      <c r="T27" s="42">
        <f t="shared" si="1"/>
        <v>99999999999</v>
      </c>
      <c r="U27" s="41">
        <f t="shared" si="3"/>
        <v>1</v>
      </c>
      <c r="V27" s="41">
        <f t="shared" si="4"/>
        <v>1</v>
      </c>
      <c r="W27" s="41">
        <f t="shared" si="2"/>
        <v>1.01</v>
      </c>
      <c r="X27" s="41">
        <f t="shared" si="5"/>
        <v>1</v>
      </c>
      <c r="Y27" s="34"/>
      <c r="Z27" s="34"/>
      <c r="AA27" s="34"/>
      <c r="AB27" s="34"/>
      <c r="AC27" s="34"/>
    </row>
    <row r="28" spans="1:29" ht="14.4" customHeight="1" x14ac:dyDescent="0.3">
      <c r="A28" s="785" t="str">
        <f>Label_AGI_DLT</f>
        <v>Displaced Left-Turn (DLT)</v>
      </c>
      <c r="B28" s="346" t="s">
        <v>117</v>
      </c>
      <c r="C28" s="342"/>
      <c r="D28" s="343"/>
      <c r="E28" s="343"/>
      <c r="F28" s="784" t="str">
        <f>IF(OR(AND(ISNUMBER(C28),C28&gt;0),AND(ISNUMBER(E28),E28&gt;0)),X22,"--")</f>
        <v>--</v>
      </c>
      <c r="G28" s="758" t="s">
        <v>141</v>
      </c>
      <c r="H28" s="759"/>
      <c r="I28" s="2"/>
      <c r="J28" s="2"/>
      <c r="K28" s="2"/>
      <c r="L28" s="2"/>
      <c r="M28" s="2"/>
      <c r="N28" s="192"/>
      <c r="P28" s="35">
        <f>IF(Input_AnalysisYearType=Notes!$A$11,Results!C40,Results!E40)</f>
        <v>0</v>
      </c>
      <c r="Q28" s="35">
        <f>IF(Input_AnalysisYearType=Notes!$A$11,Results!C41,Results!E41)</f>
        <v>0</v>
      </c>
      <c r="R28" s="35" t="b">
        <f>IsChecked_AGI_Other1</f>
        <v>0</v>
      </c>
      <c r="S28" s="42">
        <f t="shared" si="0"/>
        <v>99999999999</v>
      </c>
      <c r="T28" s="42">
        <f t="shared" si="1"/>
        <v>99999999999</v>
      </c>
      <c r="U28" s="41">
        <f t="shared" si="3"/>
        <v>1</v>
      </c>
      <c r="V28" s="41">
        <f t="shared" si="4"/>
        <v>1</v>
      </c>
      <c r="W28" s="41">
        <f t="shared" ref="W28:W29" si="6">IF($U$15,U28+0.01*V28,V28+0.01*U28)</f>
        <v>1.01</v>
      </c>
      <c r="X28" s="41">
        <f t="shared" si="5"/>
        <v>1</v>
      </c>
      <c r="Y28" s="34"/>
      <c r="Z28" s="34"/>
      <c r="AA28" s="34"/>
      <c r="AB28" s="34"/>
      <c r="AC28" s="34"/>
    </row>
    <row r="29" spans="1:29" ht="14.4" customHeight="1" x14ac:dyDescent="0.3">
      <c r="A29" s="785"/>
      <c r="B29" s="346" t="s">
        <v>169</v>
      </c>
      <c r="C29" s="344"/>
      <c r="D29" s="345"/>
      <c r="E29" s="345"/>
      <c r="F29" s="784"/>
      <c r="G29" s="760"/>
      <c r="H29" s="761"/>
      <c r="I29" s="2"/>
      <c r="J29" s="2"/>
      <c r="K29" s="2"/>
      <c r="L29" s="2"/>
      <c r="M29" s="2"/>
      <c r="N29" s="192"/>
      <c r="P29" s="35">
        <f>IF(Input_AnalysisYearType=Notes!$A$11,Results!C42,Results!E42)</f>
        <v>0</v>
      </c>
      <c r="Q29" s="35">
        <f>IF(Input_AnalysisYearType=Notes!$A$11,Results!C43,Results!E43)</f>
        <v>0</v>
      </c>
      <c r="R29" s="35" t="b">
        <f>IsChecked_AGI_Other2</f>
        <v>0</v>
      </c>
      <c r="S29" s="42">
        <f t="shared" si="0"/>
        <v>99999999999</v>
      </c>
      <c r="T29" s="42">
        <f t="shared" si="1"/>
        <v>99999999999</v>
      </c>
      <c r="U29" s="41">
        <f t="shared" si="3"/>
        <v>1</v>
      </c>
      <c r="V29" s="41">
        <f t="shared" si="4"/>
        <v>1</v>
      </c>
      <c r="W29" s="41">
        <f t="shared" si="6"/>
        <v>1.01</v>
      </c>
      <c r="X29" s="41">
        <f t="shared" si="5"/>
        <v>1</v>
      </c>
      <c r="Y29" s="34"/>
      <c r="Z29" s="34"/>
      <c r="AA29" s="34"/>
      <c r="AB29" s="34"/>
      <c r="AC29" s="34"/>
    </row>
    <row r="30" spans="1:29" ht="14.4" customHeight="1" x14ac:dyDescent="0.3">
      <c r="A30" s="785" t="str">
        <f>Label_AGI_MUT</f>
        <v>Median U-Turn (MUT)</v>
      </c>
      <c r="B30" s="346" t="s">
        <v>117</v>
      </c>
      <c r="C30" s="342"/>
      <c r="D30" s="343"/>
      <c r="E30" s="343"/>
      <c r="F30" s="784" t="str">
        <f>IF(OR(AND(ISNUMBER(C30),C30&gt;0),AND(ISNUMBER(E30),E30&gt;0)),X23,"--")</f>
        <v>--</v>
      </c>
      <c r="G30" s="758" t="s">
        <v>141</v>
      </c>
      <c r="H30" s="759"/>
      <c r="I30" s="2"/>
      <c r="J30" s="2"/>
      <c r="K30" s="2"/>
      <c r="L30" s="2"/>
      <c r="M30" s="2"/>
      <c r="N30" s="192"/>
      <c r="P30" s="34"/>
      <c r="Q30" s="34"/>
      <c r="R30" s="34"/>
      <c r="S30" s="35"/>
      <c r="T30" s="34"/>
      <c r="U30" s="34"/>
      <c r="V30" s="34"/>
      <c r="W30" s="34"/>
      <c r="X30" s="34"/>
      <c r="Y30" s="34"/>
      <c r="Z30" s="34"/>
      <c r="AA30" s="34"/>
      <c r="AB30" s="34"/>
      <c r="AC30" s="34"/>
    </row>
    <row r="31" spans="1:29" ht="15.75" customHeight="1" x14ac:dyDescent="0.3">
      <c r="A31" s="785"/>
      <c r="B31" s="346" t="s">
        <v>169</v>
      </c>
      <c r="C31" s="344"/>
      <c r="D31" s="345"/>
      <c r="E31" s="345"/>
      <c r="F31" s="784"/>
      <c r="G31" s="760"/>
      <c r="H31" s="761"/>
      <c r="I31" s="2"/>
      <c r="J31" s="2"/>
      <c r="K31" s="2"/>
      <c r="L31" s="2"/>
      <c r="M31" s="2"/>
      <c r="N31" s="192"/>
      <c r="P31" s="34"/>
      <c r="Q31" s="34"/>
      <c r="R31" s="34"/>
      <c r="S31" s="34"/>
      <c r="T31" s="34"/>
      <c r="U31" s="34"/>
      <c r="V31" s="34"/>
      <c r="W31" s="34"/>
      <c r="X31" s="34"/>
      <c r="Y31" s="34"/>
      <c r="Z31" s="34"/>
      <c r="AA31" s="34"/>
      <c r="AB31" s="34"/>
      <c r="AC31" s="34"/>
    </row>
    <row r="32" spans="1:29" ht="14.4" customHeight="1" x14ac:dyDescent="0.3">
      <c r="A32" s="785" t="str">
        <f>Label_AGI_RCUTSig</f>
        <v>Signalized RCUT</v>
      </c>
      <c r="B32" s="346" t="s">
        <v>117</v>
      </c>
      <c r="C32" s="342"/>
      <c r="D32" s="343"/>
      <c r="E32" s="343"/>
      <c r="F32" s="784" t="str">
        <f>IF(OR(AND(ISNUMBER(C32),C32&gt;0),AND(ISNUMBER(E32),E32&gt;0)),X24,"--")</f>
        <v>--</v>
      </c>
      <c r="G32" s="758" t="s">
        <v>141</v>
      </c>
      <c r="H32" s="759"/>
      <c r="I32" s="2"/>
      <c r="J32" s="2"/>
      <c r="K32" s="2"/>
      <c r="L32" s="2"/>
      <c r="M32" s="2"/>
      <c r="N32" s="192"/>
      <c r="P32" s="34"/>
      <c r="Q32" s="34"/>
      <c r="R32" s="34"/>
      <c r="S32" s="35"/>
      <c r="T32" s="34"/>
      <c r="U32" s="34"/>
      <c r="V32" s="34"/>
      <c r="W32" s="34"/>
      <c r="X32" s="34"/>
      <c r="Y32" s="34"/>
      <c r="Z32" s="34"/>
      <c r="AA32" s="34"/>
      <c r="AB32" s="34"/>
      <c r="AC32" s="34"/>
    </row>
    <row r="33" spans="1:29" ht="14.4" customHeight="1" x14ac:dyDescent="0.3">
      <c r="A33" s="785"/>
      <c r="B33" s="346" t="s">
        <v>169</v>
      </c>
      <c r="C33" s="344"/>
      <c r="D33" s="345"/>
      <c r="E33" s="345"/>
      <c r="F33" s="784"/>
      <c r="G33" s="760"/>
      <c r="H33" s="761"/>
      <c r="I33" s="2"/>
      <c r="J33" s="2"/>
      <c r="K33" s="2"/>
      <c r="L33" s="2"/>
      <c r="M33" s="2"/>
      <c r="N33" s="192"/>
      <c r="P33" s="34"/>
      <c r="Q33" s="34"/>
      <c r="R33" s="34"/>
      <c r="S33" s="34"/>
      <c r="T33" s="34"/>
      <c r="U33" s="34"/>
      <c r="V33" s="34"/>
      <c r="W33" s="34"/>
      <c r="X33" s="34"/>
      <c r="Y33" s="34"/>
      <c r="Z33" s="34"/>
      <c r="AA33" s="34"/>
      <c r="AB33" s="34"/>
      <c r="AC33" s="34"/>
    </row>
    <row r="34" spans="1:29" ht="14.4" customHeight="1" x14ac:dyDescent="0.3">
      <c r="A34" s="785" t="str">
        <f>Label_AGI_RCUTUnsig</f>
        <v>Unsignalized RCUT</v>
      </c>
      <c r="B34" s="346" t="s">
        <v>117</v>
      </c>
      <c r="C34" s="342"/>
      <c r="D34" s="343"/>
      <c r="E34" s="343"/>
      <c r="F34" s="784" t="str">
        <f>IF(OR(AND(ISNUMBER(C34),C34&gt;0),AND(ISNUMBER(E34),E34&gt;0)),X25,"--")</f>
        <v>--</v>
      </c>
      <c r="G34" s="758" t="s">
        <v>141</v>
      </c>
      <c r="H34" s="759"/>
      <c r="I34" s="2"/>
      <c r="J34" s="2"/>
      <c r="K34" s="2"/>
      <c r="L34" s="2"/>
      <c r="M34" s="2"/>
      <c r="N34" s="192"/>
      <c r="P34" s="34"/>
      <c r="Q34" s="34"/>
      <c r="R34" s="34"/>
      <c r="S34" s="35"/>
      <c r="T34" s="34"/>
      <c r="U34" s="34"/>
      <c r="V34" s="34"/>
      <c r="W34" s="34"/>
      <c r="X34" s="34"/>
      <c r="Y34" s="34"/>
      <c r="Z34" s="34"/>
      <c r="AA34" s="34"/>
      <c r="AB34" s="34"/>
      <c r="AC34" s="34"/>
    </row>
    <row r="35" spans="1:29" ht="14.4" customHeight="1" x14ac:dyDescent="0.3">
      <c r="A35" s="785"/>
      <c r="B35" s="346" t="s">
        <v>169</v>
      </c>
      <c r="C35" s="344"/>
      <c r="D35" s="345"/>
      <c r="E35" s="345"/>
      <c r="F35" s="784"/>
      <c r="G35" s="760"/>
      <c r="H35" s="761"/>
      <c r="I35" s="2"/>
      <c r="J35" s="2"/>
      <c r="K35" s="2"/>
      <c r="L35" s="2"/>
      <c r="M35" s="2"/>
      <c r="N35" s="192"/>
      <c r="P35" s="34"/>
      <c r="Q35" s="34"/>
      <c r="R35" s="34"/>
      <c r="S35" s="34"/>
      <c r="T35" s="34"/>
      <c r="U35" s="34"/>
      <c r="V35" s="34"/>
      <c r="W35" s="34"/>
      <c r="X35" s="34"/>
      <c r="Y35" s="34"/>
      <c r="Z35" s="34"/>
      <c r="AA35" s="34"/>
      <c r="AB35" s="34"/>
      <c r="AC35" s="34"/>
    </row>
    <row r="36" spans="1:29" ht="14.4" customHeight="1" x14ac:dyDescent="0.3">
      <c r="A36" s="785" t="str">
        <f>Label_AGI_GreenT</f>
        <v>Continuous Green-T (CGT) Intersection</v>
      </c>
      <c r="B36" s="346" t="s">
        <v>117</v>
      </c>
      <c r="C36" s="342"/>
      <c r="D36" s="343"/>
      <c r="E36" s="343"/>
      <c r="F36" s="784" t="str">
        <f>IF(OR(AND(ISNUMBER(C36),C36&gt;0),AND(ISNUMBER(E36),E36&gt;0)),X26,"--")</f>
        <v>--</v>
      </c>
      <c r="G36" s="758" t="s">
        <v>141</v>
      </c>
      <c r="H36" s="759"/>
      <c r="I36" s="2"/>
      <c r="J36" s="2"/>
      <c r="K36" s="2"/>
      <c r="L36" s="2"/>
      <c r="M36" s="2"/>
      <c r="N36" s="192"/>
      <c r="P36" s="34"/>
      <c r="Q36" s="34"/>
      <c r="R36" s="34"/>
      <c r="S36" s="35"/>
      <c r="T36" s="34"/>
      <c r="U36" s="34"/>
      <c r="V36" s="34"/>
      <c r="W36" s="34"/>
      <c r="X36" s="34"/>
      <c r="Y36" s="34"/>
      <c r="Z36" s="34"/>
      <c r="AA36" s="34"/>
    </row>
    <row r="37" spans="1:29" ht="14.4" customHeight="1" x14ac:dyDescent="0.3">
      <c r="A37" s="785"/>
      <c r="B37" s="346" t="s">
        <v>169</v>
      </c>
      <c r="C37" s="344"/>
      <c r="D37" s="345"/>
      <c r="E37" s="345"/>
      <c r="F37" s="784"/>
      <c r="G37" s="760"/>
      <c r="H37" s="761"/>
      <c r="I37" s="2"/>
      <c r="J37" s="2"/>
      <c r="K37" s="2"/>
      <c r="L37" s="2"/>
      <c r="M37" s="2"/>
      <c r="N37" s="192"/>
      <c r="P37" s="34"/>
      <c r="Q37" s="34"/>
      <c r="R37" s="34"/>
      <c r="S37" s="34"/>
      <c r="T37" s="34"/>
      <c r="U37" s="34"/>
      <c r="V37" s="34"/>
      <c r="W37" s="34"/>
      <c r="X37" s="34"/>
      <c r="Y37" s="34"/>
      <c r="Z37" s="34"/>
      <c r="AA37" s="34"/>
    </row>
    <row r="38" spans="1:29" ht="14.4" hidden="1" customHeight="1" x14ac:dyDescent="0.3">
      <c r="A38" s="791" t="str">
        <f>Label_AGI_Jughandle</f>
        <v>Jughandle</v>
      </c>
      <c r="B38" s="346" t="s">
        <v>117</v>
      </c>
      <c r="C38" s="342"/>
      <c r="D38" s="343"/>
      <c r="E38" s="343"/>
      <c r="F38" s="789" t="str">
        <f>IF(OR(AND(ISNUMBER(C38),C38&gt;0),AND(ISNUMBER(E38),E38&gt;0)),X27,"--")</f>
        <v>--</v>
      </c>
      <c r="G38" s="758" t="s">
        <v>141</v>
      </c>
      <c r="H38" s="759"/>
      <c r="I38" s="2"/>
      <c r="J38" s="2"/>
      <c r="K38" s="2"/>
      <c r="L38" s="2"/>
      <c r="M38" s="2"/>
      <c r="N38" s="192"/>
      <c r="P38" s="34"/>
      <c r="Q38" s="34"/>
      <c r="R38" s="34"/>
      <c r="S38" s="35"/>
      <c r="T38" s="34"/>
      <c r="U38" s="34"/>
      <c r="V38" s="34"/>
      <c r="W38" s="34"/>
      <c r="X38" s="34"/>
      <c r="Y38" s="34"/>
      <c r="Z38" s="34"/>
      <c r="AA38" s="34"/>
    </row>
    <row r="39" spans="1:29" ht="14.4" hidden="1" customHeight="1" x14ac:dyDescent="0.3">
      <c r="A39" s="790"/>
      <c r="B39" s="346" t="s">
        <v>169</v>
      </c>
      <c r="C39" s="344"/>
      <c r="D39" s="345"/>
      <c r="E39" s="345"/>
      <c r="F39" s="788"/>
      <c r="G39" s="760"/>
      <c r="H39" s="761"/>
      <c r="I39" s="2"/>
      <c r="J39" s="2"/>
      <c r="K39" s="2"/>
      <c r="L39" s="2"/>
      <c r="M39" s="2"/>
      <c r="N39" s="192"/>
    </row>
    <row r="40" spans="1:29" ht="14.4" hidden="1" customHeight="1" x14ac:dyDescent="0.3">
      <c r="A40" s="785" t="s">
        <v>203</v>
      </c>
      <c r="B40" s="346" t="s">
        <v>117</v>
      </c>
      <c r="C40" s="342"/>
      <c r="D40" s="343"/>
      <c r="E40" s="343"/>
      <c r="F40" s="784" t="str">
        <f>IF(OR(AND(ISNUMBER(C40),C40&gt;0),AND(ISNUMBER(E40),E40&gt;0)),X28,"--")</f>
        <v>--</v>
      </c>
      <c r="G40" s="758" t="s">
        <v>141</v>
      </c>
      <c r="H40" s="759"/>
      <c r="I40" s="2"/>
      <c r="J40" s="2"/>
      <c r="K40" s="2"/>
      <c r="L40" s="2"/>
      <c r="M40" s="2"/>
      <c r="N40" s="192"/>
    </row>
    <row r="41" spans="1:29" ht="15" hidden="1" customHeight="1" x14ac:dyDescent="0.3">
      <c r="A41" s="785"/>
      <c r="B41" s="346" t="s">
        <v>169</v>
      </c>
      <c r="C41" s="344"/>
      <c r="D41" s="345"/>
      <c r="E41" s="345"/>
      <c r="F41" s="784"/>
      <c r="G41" s="760"/>
      <c r="H41" s="761"/>
      <c r="I41" s="2"/>
      <c r="J41" s="2"/>
      <c r="K41" s="2"/>
      <c r="L41" s="2"/>
      <c r="M41" s="2"/>
      <c r="N41" s="192"/>
    </row>
    <row r="42" spans="1:29" ht="14.4" hidden="1" customHeight="1" x14ac:dyDescent="0.3">
      <c r="A42" s="785" t="s">
        <v>204</v>
      </c>
      <c r="B42" s="346" t="s">
        <v>117</v>
      </c>
      <c r="C42" s="342"/>
      <c r="D42" s="343"/>
      <c r="E42" s="343"/>
      <c r="F42" s="784" t="str">
        <f>IF(OR(AND(ISNUMBER(C42),C42&gt;0),AND(ISNUMBER(E42),E42&gt;0)),X29,"--")</f>
        <v>--</v>
      </c>
      <c r="G42" s="758" t="s">
        <v>141</v>
      </c>
      <c r="H42" s="759"/>
      <c r="I42" s="2"/>
      <c r="J42" s="2"/>
      <c r="K42" s="2"/>
      <c r="L42" s="2"/>
      <c r="M42" s="2"/>
      <c r="N42" s="192"/>
    </row>
    <row r="43" spans="1:29" ht="15" hidden="1" customHeight="1" x14ac:dyDescent="0.3">
      <c r="A43" s="785"/>
      <c r="B43" s="346" t="s">
        <v>169</v>
      </c>
      <c r="C43" s="344"/>
      <c r="D43" s="345"/>
      <c r="E43" s="345"/>
      <c r="F43" s="784"/>
      <c r="G43" s="760"/>
      <c r="H43" s="761"/>
      <c r="I43" s="2"/>
      <c r="J43" s="2"/>
      <c r="K43" s="2"/>
      <c r="L43" s="2"/>
      <c r="M43" s="2"/>
      <c r="N43" s="192"/>
    </row>
    <row r="44" spans="1:29" ht="7.8" customHeight="1" thickBot="1" x14ac:dyDescent="0.35">
      <c r="A44" s="194"/>
      <c r="B44" s="195"/>
      <c r="C44" s="195"/>
      <c r="D44" s="195"/>
      <c r="E44" s="195"/>
      <c r="F44" s="195"/>
      <c r="G44" s="195"/>
      <c r="H44" s="195"/>
      <c r="I44" s="195"/>
      <c r="J44" s="195"/>
      <c r="K44" s="195"/>
      <c r="L44" s="195"/>
      <c r="M44" s="195"/>
      <c r="N44" s="196"/>
    </row>
    <row r="45" spans="1:29" x14ac:dyDescent="0.3">
      <c r="B45" s="139"/>
    </row>
    <row r="46" spans="1:29" ht="23.4" x14ac:dyDescent="0.45">
      <c r="A46" s="130"/>
    </row>
  </sheetData>
  <sheetProtection algorithmName="SHA-512" hashValue="QBkuTOOR6JX7EE8lXzq/d3vZQpKjczPzNPUtRP7P3u62wSXsDoQ3iPL6zMwGSCn3vk2dpqmpo+9SWJiFQ1snOA==" saltValue="wGa7Jd32LWQt+3o5y1cENw==" spinCount="100000" sheet="1" objects="1" scenarios="1" formatCells="0" formatColumns="0" formatRows="0"/>
  <mergeCells count="65">
    <mergeCell ref="F32:F33"/>
    <mergeCell ref="J11:M13"/>
    <mergeCell ref="G15:H15"/>
    <mergeCell ref="G16:H17"/>
    <mergeCell ref="G18:H19"/>
    <mergeCell ref="G20:H21"/>
    <mergeCell ref="G13:H13"/>
    <mergeCell ref="G40:H41"/>
    <mergeCell ref="A42:A43"/>
    <mergeCell ref="F40:F41"/>
    <mergeCell ref="F42:F43"/>
    <mergeCell ref="A20:A21"/>
    <mergeCell ref="A22:A23"/>
    <mergeCell ref="A24:A25"/>
    <mergeCell ref="A26:A27"/>
    <mergeCell ref="A30:A31"/>
    <mergeCell ref="A32:A33"/>
    <mergeCell ref="A34:A35"/>
    <mergeCell ref="A36:A37"/>
    <mergeCell ref="A38:A39"/>
    <mergeCell ref="F38:F39"/>
    <mergeCell ref="F28:F29"/>
    <mergeCell ref="F30:F31"/>
    <mergeCell ref="B12:D12"/>
    <mergeCell ref="F18:F19"/>
    <mergeCell ref="A40:A41"/>
    <mergeCell ref="G22:H23"/>
    <mergeCell ref="A16:A17"/>
    <mergeCell ref="A18:A19"/>
    <mergeCell ref="F34:F35"/>
    <mergeCell ref="F36:F37"/>
    <mergeCell ref="A28:A29"/>
    <mergeCell ref="F16:F17"/>
    <mergeCell ref="F20:F21"/>
    <mergeCell ref="F22:F23"/>
    <mergeCell ref="F24:F25"/>
    <mergeCell ref="F26:F27"/>
    <mergeCell ref="G36:H37"/>
    <mergeCell ref="G38:H39"/>
    <mergeCell ref="G12:H12"/>
    <mergeCell ref="G42:H43"/>
    <mergeCell ref="A1:H2"/>
    <mergeCell ref="G34:H35"/>
    <mergeCell ref="G24:H25"/>
    <mergeCell ref="G26:H27"/>
    <mergeCell ref="G28:H29"/>
    <mergeCell ref="G30:H31"/>
    <mergeCell ref="G32:H33"/>
    <mergeCell ref="A14:H14"/>
    <mergeCell ref="A3:H3"/>
    <mergeCell ref="A4:H4"/>
    <mergeCell ref="G6:H6"/>
    <mergeCell ref="G7:H7"/>
    <mergeCell ref="B13:D13"/>
    <mergeCell ref="B6:D6"/>
    <mergeCell ref="G8:H8"/>
    <mergeCell ref="A5:H5"/>
    <mergeCell ref="G9:H9"/>
    <mergeCell ref="G10:H10"/>
    <mergeCell ref="G11:H11"/>
    <mergeCell ref="B7:D7"/>
    <mergeCell ref="B8:D8"/>
    <mergeCell ref="B9:D9"/>
    <mergeCell ref="B10:D10"/>
    <mergeCell ref="B11:D11"/>
  </mergeCells>
  <conditionalFormatting sqref="F16:F17 F38:F39">
    <cfRule type="dataBar" priority="41">
      <dataBar>
        <cfvo type="num" val="11"/>
        <cfvo type="num" val="1"/>
        <color rgb="FF00CC66"/>
      </dataBar>
      <extLst>
        <ext xmlns:x14="http://schemas.microsoft.com/office/spreadsheetml/2009/9/main" uri="{B025F937-C7B1-47D3-B67F-A62EFF666E3E}">
          <x14:id>{38D194A2-6390-4320-B315-E93E12DA95A3}</x14:id>
        </ext>
      </extLst>
    </cfRule>
  </conditionalFormatting>
  <conditionalFormatting sqref="F40:F41">
    <cfRule type="dataBar" priority="40">
      <dataBar>
        <cfvo type="num" val="11"/>
        <cfvo type="num" val="1"/>
        <color rgb="FF00CC66"/>
      </dataBar>
      <extLst>
        <ext xmlns:x14="http://schemas.microsoft.com/office/spreadsheetml/2009/9/main" uri="{B025F937-C7B1-47D3-B67F-A62EFF666E3E}">
          <x14:id>{0CDDC3EE-13AD-4CD0-AD6D-5ECFD1ADF333}</x14:id>
        </ext>
      </extLst>
    </cfRule>
  </conditionalFormatting>
  <conditionalFormatting sqref="F42:F43">
    <cfRule type="dataBar" priority="39">
      <dataBar>
        <cfvo type="num" val="11"/>
        <cfvo type="num" val="1"/>
        <color rgb="FF00CC66"/>
      </dataBar>
      <extLst>
        <ext xmlns:x14="http://schemas.microsoft.com/office/spreadsheetml/2009/9/main" uri="{B025F937-C7B1-47D3-B67F-A62EFF666E3E}">
          <x14:id>{48C2D7F2-D9D9-4861-8715-F58B14287F52}</x14:id>
        </ext>
      </extLst>
    </cfRule>
  </conditionalFormatting>
  <conditionalFormatting sqref="G40">
    <cfRule type="expression" dxfId="21" priority="12">
      <formula>G40="No"</formula>
    </cfRule>
  </conditionalFormatting>
  <conditionalFormatting sqref="G42">
    <cfRule type="expression" dxfId="20" priority="10">
      <formula>G42="No"</formula>
    </cfRule>
  </conditionalFormatting>
  <conditionalFormatting sqref="G38">
    <cfRule type="expression" dxfId="19" priority="8">
      <formula>G38="No"</formula>
    </cfRule>
  </conditionalFormatting>
  <conditionalFormatting sqref="G16">
    <cfRule type="expression" dxfId="18" priority="7">
      <formula>G16="No"</formula>
    </cfRule>
  </conditionalFormatting>
  <conditionalFormatting sqref="G18 G20 G22 G24 G26 G28 G30 G32 G34 G36">
    <cfRule type="expression" dxfId="17" priority="1">
      <formula>G18="No"</formula>
    </cfRule>
  </conditionalFormatting>
  <conditionalFormatting sqref="F18:F37">
    <cfRule type="dataBar" priority="2">
      <dataBar>
        <cfvo type="num" val="11"/>
        <cfvo type="num" val="1"/>
        <color rgb="FF00CC66"/>
      </dataBar>
      <extLst>
        <ext xmlns:x14="http://schemas.microsoft.com/office/spreadsheetml/2009/9/main" uri="{B025F937-C7B1-47D3-B67F-A62EFF666E3E}">
          <x14:id>{A57127DB-5176-44EC-B2AA-BB1066630EFC}</x14:id>
        </ext>
      </extLst>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71" r:id="rId4" name="Button 7">
              <controlPr defaultSize="0" print="0" autoFill="0" autoPict="0" macro="[0]!Sheet7.ComputeResults">
                <anchor moveWithCells="1" sizeWithCells="1">
                  <from>
                    <xdr:col>9</xdr:col>
                    <xdr:colOff>228600</xdr:colOff>
                    <xdr:row>5</xdr:row>
                    <xdr:rowOff>60960</xdr:rowOff>
                  </from>
                  <to>
                    <xdr:col>12</xdr:col>
                    <xdr:colOff>525780</xdr:colOff>
                    <xdr:row>9</xdr:row>
                    <xdr:rowOff>152400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38D194A2-6390-4320-B315-E93E12DA95A3}">
            <x14:dataBar minLength="0" maxLength="100" negativeBarColorSameAsPositive="1" axisPosition="none">
              <x14:cfvo type="num">
                <xm:f>11</xm:f>
              </x14:cfvo>
              <x14:cfvo type="num">
                <xm:f>1</xm:f>
              </x14:cfvo>
            </x14:dataBar>
          </x14:cfRule>
          <xm:sqref>F16:F17 F38:F39</xm:sqref>
        </x14:conditionalFormatting>
        <x14:conditionalFormatting xmlns:xm="http://schemas.microsoft.com/office/excel/2006/main">
          <x14:cfRule type="dataBar" id="{0CDDC3EE-13AD-4CD0-AD6D-5ECFD1ADF333}">
            <x14:dataBar minLength="0" maxLength="100" negativeBarColorSameAsPositive="1" axisPosition="none">
              <x14:cfvo type="num">
                <xm:f>11</xm:f>
              </x14:cfvo>
              <x14:cfvo type="num">
                <xm:f>1</xm:f>
              </x14:cfvo>
            </x14:dataBar>
          </x14:cfRule>
          <xm:sqref>F40:F41</xm:sqref>
        </x14:conditionalFormatting>
        <x14:conditionalFormatting xmlns:xm="http://schemas.microsoft.com/office/excel/2006/main">
          <x14:cfRule type="dataBar" id="{48C2D7F2-D9D9-4861-8715-F58B14287F52}">
            <x14:dataBar minLength="0" maxLength="100" negativeBarColorSameAsPositive="1" axisPosition="none">
              <x14:cfvo type="num">
                <xm:f>11</xm:f>
              </x14:cfvo>
              <x14:cfvo type="num">
                <xm:f>1</xm:f>
              </x14:cfvo>
            </x14:dataBar>
          </x14:cfRule>
          <xm:sqref>F42:F43</xm:sqref>
        </x14:conditionalFormatting>
        <x14:conditionalFormatting xmlns:xm="http://schemas.microsoft.com/office/excel/2006/main">
          <x14:cfRule type="dataBar" id="{A57127DB-5176-44EC-B2AA-BB1066630EFC}">
            <x14:dataBar minLength="0" maxLength="100" negativeBarColorSameAsPositive="1" axisPosition="none">
              <x14:cfvo type="num">
                <xm:f>11</xm:f>
              </x14:cfvo>
              <x14:cfvo type="num">
                <xm:f>1</xm:f>
              </x14:cfvo>
            </x14:dataBar>
          </x14:cfRule>
          <xm:sqref>F18:F37</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showInputMessage="1" showErrorMessage="1" xr:uid="{00000000-0002-0000-0900-000000000000}">
          <x14:formula1>
            <xm:f>Notes!$A$76:$A$77</xm:f>
          </x14:formula1>
          <xm:sqref>P6:R6</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tabColor rgb="FFFFFF00"/>
  </sheetPr>
  <dimension ref="A1:AC43"/>
  <sheetViews>
    <sheetView showGridLines="0" showRowColHeaders="0" zoomScaleNormal="100" workbookViewId="0">
      <selection activeCell="G15" sqref="G15:H15"/>
    </sheetView>
  </sheetViews>
  <sheetFormatPr defaultColWidth="8.88671875" defaultRowHeight="14.4" x14ac:dyDescent="0.3"/>
  <cols>
    <col min="1" max="1" width="23.88671875" customWidth="1"/>
    <col min="2" max="2" width="16.6640625" customWidth="1"/>
    <col min="3" max="3" width="18.5546875" customWidth="1"/>
    <col min="4" max="4" width="23.88671875" customWidth="1"/>
    <col min="5" max="5" width="20.5546875" customWidth="1"/>
    <col min="6" max="6" width="18.5546875" hidden="1" customWidth="1"/>
    <col min="7" max="7" width="18" customWidth="1"/>
    <col min="8" max="8" width="21" customWidth="1"/>
    <col min="9" max="9" width="9.5546875" customWidth="1"/>
    <col min="10" max="12" width="11.33203125" customWidth="1"/>
    <col min="13" max="13" width="4.77734375" customWidth="1"/>
    <col min="14" max="14" width="1.21875" customWidth="1"/>
    <col min="15" max="15" width="1" customWidth="1"/>
    <col min="16" max="18" width="15.109375" hidden="1" customWidth="1"/>
    <col min="19" max="19" width="16.33203125" hidden="1" customWidth="1"/>
    <col min="20" max="20" width="15.109375" hidden="1" customWidth="1"/>
    <col min="21" max="24" width="9" hidden="1" customWidth="1"/>
    <col min="25" max="29" width="8.88671875" hidden="1" customWidth="1"/>
    <col min="30" max="34" width="0" hidden="1" customWidth="1"/>
  </cols>
  <sheetData>
    <row r="1" spans="1:29" ht="23.4" x14ac:dyDescent="0.3">
      <c r="A1" s="609" t="s">
        <v>0</v>
      </c>
      <c r="B1" s="610"/>
      <c r="C1" s="610"/>
      <c r="D1" s="610"/>
      <c r="E1" s="610"/>
      <c r="F1" s="610"/>
      <c r="G1" s="610"/>
      <c r="H1" s="829"/>
      <c r="I1" s="207"/>
      <c r="J1" s="207"/>
      <c r="K1" s="207"/>
      <c r="L1" s="207"/>
      <c r="M1" s="207"/>
      <c r="N1" s="208"/>
    </row>
    <row r="2" spans="1:29" ht="23.4" x14ac:dyDescent="0.3">
      <c r="A2" s="830" t="s">
        <v>93</v>
      </c>
      <c r="B2" s="831"/>
      <c r="C2" s="831"/>
      <c r="D2" s="831"/>
      <c r="E2" s="831"/>
      <c r="F2" s="831"/>
      <c r="G2" s="831"/>
      <c r="H2" s="832"/>
      <c r="I2" s="2"/>
      <c r="J2" s="2"/>
      <c r="K2" s="2"/>
      <c r="L2" s="2"/>
      <c r="M2" s="2"/>
      <c r="N2" s="192"/>
    </row>
    <row r="3" spans="1:29" ht="14.4" customHeight="1" x14ac:dyDescent="0.3">
      <c r="A3" s="833" t="s">
        <v>83</v>
      </c>
      <c r="B3" s="834"/>
      <c r="C3" s="834"/>
      <c r="D3" s="834"/>
      <c r="E3" s="834"/>
      <c r="F3" s="834"/>
      <c r="G3" s="834"/>
      <c r="H3" s="835"/>
      <c r="I3" s="2"/>
      <c r="J3" s="2"/>
      <c r="K3" s="2"/>
      <c r="L3" s="2"/>
      <c r="M3" s="2"/>
      <c r="N3" s="192"/>
    </row>
    <row r="4" spans="1:29" ht="15" customHeight="1" thickBot="1" x14ac:dyDescent="0.35">
      <c r="A4" s="836" t="s">
        <v>114</v>
      </c>
      <c r="B4" s="837"/>
      <c r="C4" s="837"/>
      <c r="D4" s="837"/>
      <c r="E4" s="837"/>
      <c r="F4" s="837"/>
      <c r="G4" s="837"/>
      <c r="H4" s="838"/>
      <c r="I4" s="2"/>
      <c r="J4" s="2"/>
      <c r="K4" s="2"/>
      <c r="L4" s="2"/>
      <c r="M4" s="2"/>
      <c r="N4" s="192"/>
    </row>
    <row r="5" spans="1:29" ht="15" customHeight="1" x14ac:dyDescent="0.3">
      <c r="A5" s="839" t="s">
        <v>13</v>
      </c>
      <c r="B5" s="840"/>
      <c r="C5" s="840"/>
      <c r="D5" s="840"/>
      <c r="E5" s="840"/>
      <c r="F5" s="840"/>
      <c r="G5" s="840"/>
      <c r="H5" s="841"/>
      <c r="I5" s="2"/>
      <c r="J5" s="201"/>
      <c r="K5" s="202"/>
      <c r="L5" s="203"/>
      <c r="M5" s="2"/>
      <c r="N5" s="192"/>
      <c r="AA5" s="43" t="str">
        <f>IF(OR(OR(ISBLANK('Control Strategy Selection'!D5),ISBLANK('Control Strategy Selection'!D13),ISBLANK('Control Strategy Selection'!D14)),IF('Control Strategy Selection'!D4=Label_AnalysisYearType_OpenAndDesign,OR(ISBLANK('Control Strategy Selection'!D6),ISBLANK('Control Strategy Selection'!D15),ISBLANK('Control Strategy Selection'!D16)),FALSE)),"Please complete the Opening/Design Year Inputs and AADTs Before Viewing Results","")</f>
        <v>Please complete the Opening/Design Year Inputs and AADTs Before Viewing Results</v>
      </c>
    </row>
    <row r="6" spans="1:29" ht="15" customHeight="1" x14ac:dyDescent="0.3">
      <c r="A6" s="297" t="s">
        <v>7</v>
      </c>
      <c r="B6" s="817" t="str">
        <f>IF(ISBLANK('Project Information'!E4),"",'Project Information'!E4)</f>
        <v/>
      </c>
      <c r="C6" s="818"/>
      <c r="D6" s="818"/>
      <c r="E6" s="827" t="s">
        <v>106</v>
      </c>
      <c r="F6" s="828"/>
      <c r="G6" s="821" t="str">
        <f>'Control Strategy Selection'!D3</f>
        <v>At-Grade Intersections</v>
      </c>
      <c r="H6" s="822"/>
      <c r="I6" s="2"/>
      <c r="J6" s="204"/>
      <c r="K6" s="184"/>
      <c r="L6" s="186"/>
      <c r="M6" s="2"/>
      <c r="N6" s="192"/>
    </row>
    <row r="7" spans="1:29" ht="15" customHeight="1" x14ac:dyDescent="0.3">
      <c r="A7" s="298" t="s">
        <v>14</v>
      </c>
      <c r="B7" s="817" t="str">
        <f>IF(ISBLANK('Project Information'!E5),"",'Project Information'!E5)</f>
        <v/>
      </c>
      <c r="C7" s="818"/>
      <c r="D7" s="818"/>
      <c r="E7" s="827" t="s">
        <v>85</v>
      </c>
      <c r="F7" s="828"/>
      <c r="G7" s="821">
        <f>'Control Strategy Selection'!D5</f>
        <v>0</v>
      </c>
      <c r="H7" s="822"/>
      <c r="I7" s="2"/>
      <c r="J7" s="204"/>
      <c r="K7" s="184"/>
      <c r="L7" s="186"/>
      <c r="M7" s="2"/>
      <c r="N7" s="192"/>
    </row>
    <row r="8" spans="1:29" ht="15" customHeight="1" x14ac:dyDescent="0.3">
      <c r="A8" s="298" t="s">
        <v>15</v>
      </c>
      <c r="B8" s="817" t="str">
        <f>IF(ISBLANK('Project Information'!E6),"",'Project Information'!E6)</f>
        <v/>
      </c>
      <c r="C8" s="818"/>
      <c r="D8" s="818"/>
      <c r="E8" s="827" t="s">
        <v>86</v>
      </c>
      <c r="F8" s="828"/>
      <c r="G8" s="821" t="str">
        <f>IF(Input_AnalysisYearType=Notes!A12,'Control Strategy Selection'!D6,"--")</f>
        <v>--</v>
      </c>
      <c r="H8" s="822"/>
      <c r="I8" s="2"/>
      <c r="J8" s="204"/>
      <c r="K8" s="184"/>
      <c r="L8" s="186"/>
      <c r="M8" s="2"/>
      <c r="N8" s="192"/>
    </row>
    <row r="9" spans="1:29" ht="15" customHeight="1" thickBot="1" x14ac:dyDescent="0.35">
      <c r="A9" s="298" t="s">
        <v>8</v>
      </c>
      <c r="B9" s="817" t="str">
        <f>IF(ISBLANK('Project Information'!E7),"",'Project Information'!E7)</f>
        <v/>
      </c>
      <c r="C9" s="818"/>
      <c r="D9" s="818"/>
      <c r="E9" s="819" t="s">
        <v>130</v>
      </c>
      <c r="F9" s="820"/>
      <c r="G9" s="821" t="str">
        <f>Input_RTI_AreaType</f>
        <v>Rural</v>
      </c>
      <c r="H9" s="822"/>
      <c r="I9" s="2"/>
      <c r="J9" s="296"/>
      <c r="K9" s="189"/>
      <c r="L9" s="190"/>
      <c r="M9" s="2"/>
      <c r="N9" s="192"/>
    </row>
    <row r="10" spans="1:29" ht="15" customHeight="1" x14ac:dyDescent="0.3">
      <c r="A10" s="298" t="s">
        <v>9</v>
      </c>
      <c r="B10" s="817" t="str">
        <f>IF(ISBLANK('Project Information'!E8),"",'Project Information'!E8)</f>
        <v/>
      </c>
      <c r="C10" s="818"/>
      <c r="D10" s="818"/>
      <c r="E10" s="819"/>
      <c r="F10" s="820"/>
      <c r="G10" s="821"/>
      <c r="H10" s="822"/>
      <c r="I10" s="2"/>
      <c r="J10" s="3"/>
      <c r="K10" s="3"/>
      <c r="L10" s="3"/>
      <c r="M10" s="2"/>
      <c r="N10" s="192"/>
      <c r="S10" s="34"/>
      <c r="T10" s="34"/>
      <c r="U10" s="34"/>
      <c r="V10" s="34"/>
      <c r="W10" s="34"/>
      <c r="X10" s="34"/>
      <c r="Y10" s="34"/>
      <c r="Z10" s="34"/>
      <c r="AA10" s="34"/>
    </row>
    <row r="11" spans="1:29" ht="15" customHeight="1" x14ac:dyDescent="0.3">
      <c r="A11" s="298" t="s">
        <v>10</v>
      </c>
      <c r="B11" s="817" t="str">
        <f>IF(ISBLANK('Project Information'!E9),"",'Project Information'!E9)</f>
        <v/>
      </c>
      <c r="C11" s="818"/>
      <c r="D11" s="818"/>
      <c r="E11" s="819"/>
      <c r="F11" s="820"/>
      <c r="G11" s="821"/>
      <c r="H11" s="822"/>
      <c r="I11" s="2"/>
      <c r="J11" s="2"/>
      <c r="K11" s="2"/>
      <c r="L11" s="2"/>
      <c r="M11" s="2"/>
      <c r="N11" s="192"/>
      <c r="S11" s="34"/>
      <c r="T11" s="34"/>
      <c r="U11" s="34"/>
      <c r="V11" s="34"/>
      <c r="W11" s="34"/>
      <c r="X11" s="34"/>
      <c r="Y11" s="34"/>
      <c r="Z11" s="34"/>
      <c r="AA11" s="34"/>
    </row>
    <row r="12" spans="1:29" ht="15" customHeight="1" x14ac:dyDescent="0.3">
      <c r="A12" s="298" t="s">
        <v>11</v>
      </c>
      <c r="B12" s="823" t="str">
        <f>IF(ISBLANK('Project Information'!E10),"",'Project Information'!E10)</f>
        <v/>
      </c>
      <c r="C12" s="824"/>
      <c r="D12" s="824"/>
      <c r="E12" s="819"/>
      <c r="F12" s="820"/>
      <c r="G12" s="825"/>
      <c r="H12" s="826"/>
      <c r="I12" s="2"/>
      <c r="J12" s="2"/>
      <c r="K12" s="2"/>
      <c r="L12" s="2"/>
      <c r="M12" s="2"/>
      <c r="N12" s="192"/>
      <c r="S12" s="34"/>
      <c r="T12" s="34"/>
      <c r="U12" s="34"/>
      <c r="V12" s="34"/>
      <c r="W12" s="34"/>
      <c r="X12" s="34"/>
      <c r="Y12" s="34"/>
      <c r="Z12" s="34"/>
      <c r="AA12" s="34"/>
    </row>
    <row r="13" spans="1:29" ht="15.75" customHeight="1" thickBot="1" x14ac:dyDescent="0.35">
      <c r="A13" s="299" t="s">
        <v>12</v>
      </c>
      <c r="B13" s="808" t="str">
        <f>IF(ISBLANK('Project Information'!E11),"",'Project Information'!E11)</f>
        <v/>
      </c>
      <c r="C13" s="809"/>
      <c r="D13" s="809"/>
      <c r="E13" s="810"/>
      <c r="F13" s="811"/>
      <c r="G13" s="812"/>
      <c r="H13" s="813"/>
      <c r="I13" s="2"/>
      <c r="J13" s="2"/>
      <c r="K13" s="2"/>
      <c r="L13" s="2"/>
      <c r="M13" s="2"/>
      <c r="N13" s="192"/>
      <c r="S13" s="34"/>
      <c r="T13" s="34"/>
      <c r="U13" s="34"/>
      <c r="V13" s="34"/>
      <c r="W13" s="34"/>
      <c r="X13" s="34"/>
      <c r="Y13" s="34"/>
      <c r="Z13" s="34"/>
      <c r="AA13" s="34"/>
      <c r="AB13" s="34"/>
      <c r="AC13" s="34"/>
    </row>
    <row r="14" spans="1:29" x14ac:dyDescent="0.3">
      <c r="A14" s="814" t="s">
        <v>84</v>
      </c>
      <c r="B14" s="815"/>
      <c r="C14" s="815"/>
      <c r="D14" s="815"/>
      <c r="E14" s="815"/>
      <c r="F14" s="815"/>
      <c r="G14" s="815"/>
      <c r="H14" s="815"/>
      <c r="I14" s="2"/>
      <c r="J14" s="2"/>
      <c r="K14" s="2"/>
      <c r="L14" s="2"/>
      <c r="M14" s="2"/>
      <c r="N14" s="192"/>
      <c r="S14" s="34"/>
      <c r="T14" s="34"/>
      <c r="U14" s="34"/>
      <c r="V14" s="34"/>
      <c r="W14" s="34"/>
      <c r="X14" s="34"/>
      <c r="Y14" s="34"/>
      <c r="Z14" s="34"/>
      <c r="AA14" s="34"/>
      <c r="AB14" s="34"/>
      <c r="AC14" s="34"/>
    </row>
    <row r="15" spans="1:29" ht="31.2" customHeight="1" x14ac:dyDescent="0.3">
      <c r="A15" s="300" t="s">
        <v>139</v>
      </c>
      <c r="B15" s="294" t="s">
        <v>168</v>
      </c>
      <c r="C15" s="294" t="s">
        <v>85</v>
      </c>
      <c r="D15" s="294" t="s">
        <v>86</v>
      </c>
      <c r="E15" s="294" t="s">
        <v>87</v>
      </c>
      <c r="F15" s="294" t="s">
        <v>188</v>
      </c>
      <c r="G15" s="816" t="s">
        <v>442</v>
      </c>
      <c r="H15" s="816"/>
      <c r="I15" s="2"/>
      <c r="J15" s="2"/>
      <c r="K15" s="2"/>
      <c r="L15" s="2"/>
      <c r="M15" s="2"/>
      <c r="N15" s="192"/>
      <c r="P15" s="34" t="s">
        <v>194</v>
      </c>
      <c r="Q15" s="34"/>
      <c r="R15" s="34" t="s">
        <v>283</v>
      </c>
      <c r="S15" s="36" t="s">
        <v>117</v>
      </c>
      <c r="T15" s="36" t="s">
        <v>189</v>
      </c>
      <c r="U15" s="40" t="b">
        <v>0</v>
      </c>
      <c r="V15" s="41"/>
      <c r="W15" s="41"/>
      <c r="X15" s="41"/>
      <c r="Y15" s="34"/>
      <c r="Z15" s="34"/>
      <c r="AA15" s="34"/>
      <c r="AB15" s="34"/>
      <c r="AC15" s="34"/>
    </row>
    <row r="16" spans="1:29" ht="14.4" customHeight="1" x14ac:dyDescent="0.3">
      <c r="A16" s="802" t="str">
        <f>Label_RTI_D4TS</f>
        <v>Conventional Traffic Signal</v>
      </c>
      <c r="B16" s="295" t="s">
        <v>117</v>
      </c>
      <c r="C16" s="38"/>
      <c r="D16" s="334"/>
      <c r="E16" s="169"/>
      <c r="F16" s="803" t="str">
        <f>IF(OR(AND(ISNUMBER(C16),C16&gt;0),AND(ISNUMBER(E16),E16&gt;0)),X16,"--")</f>
        <v>--</v>
      </c>
      <c r="G16" s="804" t="str">
        <f>IF(AND('Control Strategy Selection'!W61:X61),"Yes","No")</f>
        <v>No</v>
      </c>
      <c r="H16" s="805"/>
      <c r="I16" s="2"/>
      <c r="J16" s="278"/>
      <c r="K16" s="2"/>
      <c r="L16" s="2"/>
      <c r="M16" s="2"/>
      <c r="N16" s="192"/>
      <c r="P16" s="35">
        <f>IF(Input_AnalysisYearType=Notes!$A$11,ResultsRTI!C16,ResultsRTI!E16)</f>
        <v>0</v>
      </c>
      <c r="Q16" s="35">
        <f>IF(Input_AnalysisYearType=Notes!$A$11,ResultsRTI!C17,ResultsRTI!E17)</f>
        <v>0</v>
      </c>
      <c r="R16" s="35" t="b">
        <f>IsChecked_AGI_TrafficSignal</f>
        <v>1</v>
      </c>
      <c r="S16" s="42">
        <f t="shared" ref="S16:S24" si="0">IF(AND(P16&gt;0,R16),P16,99999999999)</f>
        <v>99999999999</v>
      </c>
      <c r="T16" s="42">
        <f t="shared" ref="T16:T24" si="1">IF(AND(Q16&gt;0,R16),Q16,99999999999)</f>
        <v>99999999999</v>
      </c>
      <c r="U16" s="41">
        <f>RANK(S16,$S$16:$S$29,1)</f>
        <v>1</v>
      </c>
      <c r="V16" s="41">
        <f>RANK(T16,$T$16:$T$29,1)</f>
        <v>1</v>
      </c>
      <c r="W16" s="41">
        <f t="shared" ref="W16:W24" si="2">IF($U$15,U16+0.01*V16,V16+0.01*U16)</f>
        <v>1.01</v>
      </c>
      <c r="X16" s="41">
        <f>RANK(W16,$W$16:$W$29,1)</f>
        <v>1</v>
      </c>
      <c r="Y16" s="34"/>
      <c r="Z16" s="34"/>
      <c r="AA16" s="34"/>
      <c r="AB16" s="34"/>
      <c r="AC16" s="34"/>
    </row>
    <row r="17" spans="1:29" ht="14.4" customHeight="1" x14ac:dyDescent="0.3">
      <c r="A17" s="802"/>
      <c r="B17" s="295" t="s">
        <v>169</v>
      </c>
      <c r="C17" s="39"/>
      <c r="D17" s="335"/>
      <c r="E17" s="170"/>
      <c r="F17" s="803"/>
      <c r="G17" s="806"/>
      <c r="H17" s="807"/>
      <c r="I17" s="2"/>
      <c r="J17" s="2"/>
      <c r="K17" s="2"/>
      <c r="L17" s="2"/>
      <c r="M17" s="2"/>
      <c r="N17" s="192"/>
      <c r="P17" s="35">
        <f>IF(Input_AnalysisYearType=Notes!$A$11,ResultsRTI!C18,ResultsRTI!E18)</f>
        <v>0</v>
      </c>
      <c r="Q17" s="35">
        <f>IF(Input_AnalysisYearType=Notes!$A$11,ResultsRTI!C19,ResultsRTI!E19)</f>
        <v>0</v>
      </c>
      <c r="R17" s="35" t="b">
        <f>IsChecked_AGI_TrafficSignal2</f>
        <v>1</v>
      </c>
      <c r="S17" s="42">
        <f t="shared" si="0"/>
        <v>99999999999</v>
      </c>
      <c r="T17" s="42">
        <f t="shared" si="1"/>
        <v>99999999999</v>
      </c>
      <c r="U17" s="41">
        <f t="shared" ref="U17:U24" si="3">RANK(S17,$S$16:$S$29,1)</f>
        <v>1</v>
      </c>
      <c r="V17" s="41">
        <f t="shared" ref="V17:V24" si="4">RANK(T17,$T$16:$T$29,1)</f>
        <v>1</v>
      </c>
      <c r="W17" s="41">
        <f t="shared" si="2"/>
        <v>1.01</v>
      </c>
      <c r="X17" s="41">
        <f t="shared" ref="X17:X24" si="5">RANK(W17,$W$16:$W$29,1)</f>
        <v>1</v>
      </c>
      <c r="Y17" s="34"/>
      <c r="Z17" s="34"/>
      <c r="AA17" s="34"/>
      <c r="AB17" s="34"/>
      <c r="AC17" s="34"/>
    </row>
    <row r="18" spans="1:29" ht="15.75" customHeight="1" x14ac:dyDescent="0.3">
      <c r="A18" s="802" t="str">
        <f>Label_RTI_D4TSA</f>
        <v>Conventional Traffic Signal (Alt)</v>
      </c>
      <c r="B18" s="295" t="s">
        <v>117</v>
      </c>
      <c r="C18" s="47"/>
      <c r="D18" s="171"/>
      <c r="E18" s="171"/>
      <c r="F18" s="803" t="str">
        <f>IF(OR(AND(ISNUMBER(C18),C18&gt;0),AND(ISNUMBER(E18),E18&gt;0)),X17,"--")</f>
        <v>--</v>
      </c>
      <c r="G18" s="804" t="str">
        <f>IF(AND('Control Strategy Selection'!W62:X62),"Yes","No")</f>
        <v>No</v>
      </c>
      <c r="H18" s="805"/>
      <c r="I18" s="2"/>
      <c r="J18" s="2"/>
      <c r="K18" s="2"/>
      <c r="L18" s="2"/>
      <c r="M18" s="2"/>
      <c r="N18" s="192"/>
      <c r="P18" s="35">
        <f>IF(Input_AnalysisYearType=Notes!$A$11,ResultsRTI!C20,ResultsRTI!E20)</f>
        <v>0</v>
      </c>
      <c r="Q18" s="35">
        <f>IF(Input_AnalysisYearType=Notes!$A$11,ResultsRTI!C21,ResultsRTI!E21)</f>
        <v>0</v>
      </c>
      <c r="R18" s="35" t="b">
        <f>IsChecked_AGI_MinorStop</f>
        <v>1</v>
      </c>
      <c r="S18" s="42">
        <f t="shared" si="0"/>
        <v>99999999999</v>
      </c>
      <c r="T18" s="42">
        <f t="shared" si="1"/>
        <v>99999999999</v>
      </c>
      <c r="U18" s="41">
        <f t="shared" si="3"/>
        <v>1</v>
      </c>
      <c r="V18" s="41">
        <f t="shared" si="4"/>
        <v>1</v>
      </c>
      <c r="W18" s="41">
        <f t="shared" si="2"/>
        <v>1.01</v>
      </c>
      <c r="X18" s="41">
        <f t="shared" si="5"/>
        <v>1</v>
      </c>
      <c r="Y18" s="34"/>
      <c r="Z18" s="34"/>
      <c r="AA18" s="34"/>
      <c r="AB18" s="34"/>
      <c r="AC18" s="34"/>
    </row>
    <row r="19" spans="1:29" ht="15.75" customHeight="1" x14ac:dyDescent="0.3">
      <c r="A19" s="802"/>
      <c r="B19" s="295" t="s">
        <v>169</v>
      </c>
      <c r="C19" s="47"/>
      <c r="D19" s="171"/>
      <c r="E19" s="171"/>
      <c r="F19" s="803"/>
      <c r="G19" s="806"/>
      <c r="H19" s="807"/>
      <c r="I19" s="2"/>
      <c r="J19" s="2"/>
      <c r="K19" s="2"/>
      <c r="L19" s="2"/>
      <c r="M19" s="2"/>
      <c r="N19" s="192"/>
      <c r="P19" s="35">
        <f>IF(Input_AnalysisYearType=Notes!$A$11,ResultsRTI!C22,ResultsRTI!E22)</f>
        <v>0</v>
      </c>
      <c r="Q19" s="35">
        <f>IF(Input_AnalysisYearType=Notes!$A$11,ResultsRTI!C23,ResultsRTI!E23)</f>
        <v>0</v>
      </c>
      <c r="R19" s="35" t="b">
        <f>IsChecked_AGI_AllStop</f>
        <v>0</v>
      </c>
      <c r="S19" s="42">
        <f t="shared" si="0"/>
        <v>99999999999</v>
      </c>
      <c r="T19" s="42">
        <f t="shared" si="1"/>
        <v>99999999999</v>
      </c>
      <c r="U19" s="41">
        <f t="shared" si="3"/>
        <v>1</v>
      </c>
      <c r="V19" s="41">
        <f t="shared" si="4"/>
        <v>1</v>
      </c>
      <c r="W19" s="41">
        <f t="shared" si="2"/>
        <v>1.01</v>
      </c>
      <c r="X19" s="41">
        <f t="shared" si="5"/>
        <v>1</v>
      </c>
      <c r="Y19" s="34"/>
      <c r="Z19" s="34"/>
      <c r="AA19" s="34"/>
      <c r="AB19" s="34"/>
      <c r="AC19" s="34"/>
    </row>
    <row r="20" spans="1:29" ht="14.4" customHeight="1" x14ac:dyDescent="0.3">
      <c r="A20" s="802" t="str">
        <f>Label_RTI_DDI</f>
        <v>Crossover Traffic Signal (of DDI)</v>
      </c>
      <c r="B20" s="295" t="s">
        <v>117</v>
      </c>
      <c r="C20" s="38"/>
      <c r="D20" s="169"/>
      <c r="E20" s="169"/>
      <c r="F20" s="803" t="str">
        <f>IF(OR(AND(ISNUMBER(C20),C20&gt;0),AND(ISNUMBER(E20),E20&gt;0)),X18,"--")</f>
        <v>--</v>
      </c>
      <c r="G20" s="804" t="s">
        <v>141</v>
      </c>
      <c r="H20" s="805"/>
      <c r="I20" s="2"/>
      <c r="J20" s="2"/>
      <c r="K20" s="2"/>
      <c r="L20" s="2"/>
      <c r="M20" s="2"/>
      <c r="N20" s="192"/>
      <c r="P20" s="35">
        <f>IF(Input_AnalysisYearType=Notes!$A$11,ResultsRTI!C24,ResultsRTI!E24)</f>
        <v>0</v>
      </c>
      <c r="Q20" s="35">
        <f>IF(Input_AnalysisYearType=Notes!$A$11,ResultsRTI!C25,ResultsRTI!E25)</f>
        <v>0</v>
      </c>
      <c r="R20" s="35" t="b">
        <f>IsChecked_AGI_Rdbt1Ln</f>
        <v>1</v>
      </c>
      <c r="S20" s="42">
        <f t="shared" si="0"/>
        <v>99999999999</v>
      </c>
      <c r="T20" s="42">
        <f t="shared" si="1"/>
        <v>99999999999</v>
      </c>
      <c r="U20" s="41">
        <f t="shared" si="3"/>
        <v>1</v>
      </c>
      <c r="V20" s="41">
        <f t="shared" si="4"/>
        <v>1</v>
      </c>
      <c r="W20" s="41">
        <f t="shared" si="2"/>
        <v>1.01</v>
      </c>
      <c r="X20" s="41">
        <f t="shared" si="5"/>
        <v>1</v>
      </c>
      <c r="Y20" s="34"/>
      <c r="Z20" s="34"/>
      <c r="AA20" s="34"/>
      <c r="AB20" s="34"/>
      <c r="AC20" s="34"/>
    </row>
    <row r="21" spans="1:29" ht="15.75" customHeight="1" x14ac:dyDescent="0.3">
      <c r="A21" s="802"/>
      <c r="B21" s="295" t="s">
        <v>169</v>
      </c>
      <c r="C21" s="39"/>
      <c r="D21" s="170"/>
      <c r="E21" s="170"/>
      <c r="F21" s="803"/>
      <c r="G21" s="806"/>
      <c r="H21" s="807"/>
      <c r="I21" s="2"/>
      <c r="J21" s="2"/>
      <c r="K21" s="2"/>
      <c r="L21" s="2"/>
      <c r="M21" s="2"/>
      <c r="N21" s="192"/>
      <c r="P21" s="35">
        <f>IF(Input_AnalysisYearType=Notes!$A$11,ResultsRTI!C26,ResultsRTI!E26)</f>
        <v>0</v>
      </c>
      <c r="Q21" s="35">
        <f>IF(Input_AnalysisYearType=Notes!$A$11,ResultsRTI!C27,ResultsRTI!E27)</f>
        <v>0</v>
      </c>
      <c r="R21" s="35" t="b">
        <f>IsChecked_AGI_Rdbt2Ln</f>
        <v>1</v>
      </c>
      <c r="S21" s="42">
        <f t="shared" si="0"/>
        <v>99999999999</v>
      </c>
      <c r="T21" s="42">
        <f t="shared" si="1"/>
        <v>99999999999</v>
      </c>
      <c r="U21" s="41">
        <f t="shared" si="3"/>
        <v>1</v>
      </c>
      <c r="V21" s="41">
        <f t="shared" si="4"/>
        <v>1</v>
      </c>
      <c r="W21" s="41">
        <f t="shared" si="2"/>
        <v>1.01</v>
      </c>
      <c r="X21" s="41">
        <f t="shared" si="5"/>
        <v>1</v>
      </c>
      <c r="Y21" s="34"/>
      <c r="Z21" s="34"/>
      <c r="AA21" s="34"/>
      <c r="AB21" s="34"/>
      <c r="AC21" s="34"/>
    </row>
    <row r="22" spans="1:29" ht="15" hidden="1" customHeight="1" x14ac:dyDescent="0.3">
      <c r="A22" s="802" t="str">
        <f>Label_RTI_SPUI</f>
        <v>Single-Point Diamond Traffic Signal</v>
      </c>
      <c r="B22" s="295" t="s">
        <v>117</v>
      </c>
      <c r="C22" s="38"/>
      <c r="D22" s="169"/>
      <c r="E22" s="169"/>
      <c r="F22" s="803" t="str">
        <f>IF(OR(AND(ISNUMBER(C22),C22&gt;0),AND(ISNUMBER(E22),E22&gt;0)),X19,"--")</f>
        <v>--</v>
      </c>
      <c r="G22" s="804" t="s">
        <v>141</v>
      </c>
      <c r="H22" s="805"/>
      <c r="I22" s="2"/>
      <c r="J22" s="2"/>
      <c r="K22" s="2"/>
      <c r="L22" s="2"/>
      <c r="M22" s="2"/>
      <c r="N22" s="192"/>
      <c r="P22" s="35">
        <f>IF(Input_AnalysisYearType=Notes!$A$11,ResultsRTI!C28,ResultsRTI!E28)</f>
        <v>0</v>
      </c>
      <c r="Q22" s="35">
        <f>IF(Input_AnalysisYearType=Notes!$A$11,ResultsRTI!C29,ResultsRTI!E29)</f>
        <v>0</v>
      </c>
      <c r="R22" s="35" t="b">
        <f>IsChecked_AGI_DLT</f>
        <v>1</v>
      </c>
      <c r="S22" s="42">
        <f t="shared" si="0"/>
        <v>99999999999</v>
      </c>
      <c r="T22" s="42">
        <f t="shared" si="1"/>
        <v>99999999999</v>
      </c>
      <c r="U22" s="41">
        <f t="shared" si="3"/>
        <v>1</v>
      </c>
      <c r="V22" s="41">
        <f t="shared" si="4"/>
        <v>1</v>
      </c>
      <c r="W22" s="41">
        <f t="shared" si="2"/>
        <v>1.01</v>
      </c>
      <c r="X22" s="41">
        <f t="shared" si="5"/>
        <v>1</v>
      </c>
      <c r="Y22" s="34"/>
      <c r="Z22" s="34"/>
      <c r="AA22" s="34"/>
      <c r="AB22" s="34"/>
      <c r="AC22" s="34"/>
    </row>
    <row r="23" spans="1:29" ht="14.4" hidden="1" customHeight="1" x14ac:dyDescent="0.3">
      <c r="A23" s="802"/>
      <c r="B23" s="295" t="s">
        <v>169</v>
      </c>
      <c r="C23" s="39"/>
      <c r="D23" s="170"/>
      <c r="E23" s="170"/>
      <c r="F23" s="803"/>
      <c r="G23" s="806"/>
      <c r="H23" s="807"/>
      <c r="I23" s="2"/>
      <c r="J23" s="2"/>
      <c r="K23" s="2"/>
      <c r="L23" s="2"/>
      <c r="M23" s="2"/>
      <c r="N23" s="192"/>
      <c r="P23" s="35">
        <f>IF(Input_AnalysisYearType=Notes!$A$11,ResultsRTI!C30,ResultsRTI!E30)</f>
        <v>0</v>
      </c>
      <c r="Q23" s="35">
        <f>IF(Input_AnalysisYearType=Notes!$A$11,ResultsRTI!C31,ResultsRTI!E31)</f>
        <v>0</v>
      </c>
      <c r="R23" s="35" t="b">
        <f>IsChecked_AGI_MUT</f>
        <v>1</v>
      </c>
      <c r="S23" s="42">
        <f t="shared" si="0"/>
        <v>99999999999</v>
      </c>
      <c r="T23" s="42">
        <f t="shared" si="1"/>
        <v>99999999999</v>
      </c>
      <c r="U23" s="41">
        <f t="shared" si="3"/>
        <v>1</v>
      </c>
      <c r="V23" s="41">
        <f t="shared" si="4"/>
        <v>1</v>
      </c>
      <c r="W23" s="41">
        <f t="shared" si="2"/>
        <v>1.01</v>
      </c>
      <c r="X23" s="41">
        <f t="shared" si="5"/>
        <v>1</v>
      </c>
      <c r="Y23" s="34"/>
      <c r="Z23" s="34"/>
      <c r="AA23" s="34"/>
      <c r="AB23" s="34"/>
      <c r="AC23" s="34"/>
    </row>
    <row r="24" spans="1:29" ht="14.4" customHeight="1" x14ac:dyDescent="0.3">
      <c r="A24" s="802" t="str">
        <f>Label_RTI_D4MS</f>
        <v>Minor Road (ramp) Stop</v>
      </c>
      <c r="B24" s="295" t="s">
        <v>117</v>
      </c>
      <c r="C24" s="38"/>
      <c r="D24" s="169"/>
      <c r="E24" s="169"/>
      <c r="F24" s="803" t="str">
        <f>IF(OR(AND(ISNUMBER(C24),C24&gt;0),AND(ISNUMBER(E24),E24&gt;0)),X20,"--")</f>
        <v>--</v>
      </c>
      <c r="G24" s="804" t="str">
        <f>IF(AND('Control Strategy Selection'!W65:X65),"Yes","No")</f>
        <v>Yes</v>
      </c>
      <c r="H24" s="805"/>
      <c r="I24" s="2"/>
      <c r="J24" s="2"/>
      <c r="K24" s="2"/>
      <c r="L24" s="2"/>
      <c r="M24" s="2"/>
      <c r="N24" s="192"/>
      <c r="P24" s="35">
        <f>IF(Input_AnalysisYearType=Notes!$A$11,ResultsRTI!C32,ResultsRTI!E32)</f>
        <v>0</v>
      </c>
      <c r="Q24" s="35">
        <f>IF(Input_AnalysisYearType=Notes!$A$11,ResultsRTI!C33,ResultsRTI!E33)</f>
        <v>0</v>
      </c>
      <c r="R24" s="35" t="b">
        <f>IsChecked_AGI_RCUTSig</f>
        <v>1</v>
      </c>
      <c r="S24" s="42">
        <f t="shared" si="0"/>
        <v>99999999999</v>
      </c>
      <c r="T24" s="42">
        <f t="shared" si="1"/>
        <v>99999999999</v>
      </c>
      <c r="U24" s="41">
        <f t="shared" si="3"/>
        <v>1</v>
      </c>
      <c r="V24" s="41">
        <f t="shared" si="4"/>
        <v>1</v>
      </c>
      <c r="W24" s="41">
        <f t="shared" si="2"/>
        <v>1.01</v>
      </c>
      <c r="X24" s="41">
        <f t="shared" si="5"/>
        <v>1</v>
      </c>
      <c r="Y24" s="34"/>
      <c r="Z24" s="34"/>
      <c r="AA24" s="34"/>
      <c r="AB24" s="34"/>
      <c r="AC24" s="34"/>
    </row>
    <row r="25" spans="1:29" ht="14.4" customHeight="1" x14ac:dyDescent="0.3">
      <c r="A25" s="802"/>
      <c r="B25" s="295" t="s">
        <v>169</v>
      </c>
      <c r="C25" s="39"/>
      <c r="D25" s="170"/>
      <c r="E25" s="170"/>
      <c r="F25" s="803"/>
      <c r="G25" s="806"/>
      <c r="H25" s="807"/>
      <c r="I25" s="2"/>
      <c r="J25" s="2"/>
      <c r="K25" s="2"/>
      <c r="L25" s="2"/>
      <c r="M25" s="2"/>
      <c r="N25" s="192"/>
      <c r="P25" s="35"/>
      <c r="Q25" s="35"/>
      <c r="R25" s="35"/>
      <c r="S25" s="42"/>
      <c r="T25" s="42"/>
      <c r="U25" s="41"/>
      <c r="V25" s="41"/>
      <c r="W25" s="41"/>
      <c r="X25" s="41"/>
      <c r="Y25" s="34"/>
      <c r="Z25" s="34"/>
      <c r="AA25" s="34"/>
      <c r="AB25" s="34"/>
      <c r="AC25" s="34"/>
    </row>
    <row r="26" spans="1:29" ht="16.5" hidden="1" customHeight="1" x14ac:dyDescent="0.3">
      <c r="A26" s="802" t="str">
        <f>Label_RTI_1LnRdbt</f>
        <v>1-lane Roundabout (No SPF/CMF Available)</v>
      </c>
      <c r="B26" s="295" t="s">
        <v>117</v>
      </c>
      <c r="C26" s="38"/>
      <c r="D26" s="169"/>
      <c r="E26" s="169"/>
      <c r="F26" s="803" t="str">
        <f>IF(OR(AND(ISNUMBER(C26),C26&gt;0),AND(ISNUMBER(E26),E26&gt;0)),X21,"--")</f>
        <v>--</v>
      </c>
      <c r="G26" s="804" t="s">
        <v>141</v>
      </c>
      <c r="H26" s="805"/>
      <c r="I26" s="2"/>
      <c r="J26" s="2"/>
      <c r="K26" s="2"/>
      <c r="L26" s="2"/>
      <c r="M26" s="2"/>
      <c r="N26" s="192"/>
      <c r="P26" s="35"/>
      <c r="Q26" s="35"/>
      <c r="R26" s="35"/>
      <c r="S26" s="42"/>
      <c r="T26" s="42"/>
      <c r="U26" s="41"/>
      <c r="V26" s="41"/>
      <c r="W26" s="41"/>
      <c r="X26" s="41"/>
      <c r="Y26" s="34"/>
      <c r="Z26" s="34"/>
      <c r="AA26" s="34"/>
      <c r="AB26" s="34"/>
      <c r="AC26" s="34"/>
    </row>
    <row r="27" spans="1:29" ht="15" hidden="1" customHeight="1" x14ac:dyDescent="0.3">
      <c r="A27" s="802"/>
      <c r="B27" s="295" t="s">
        <v>169</v>
      </c>
      <c r="C27" s="39"/>
      <c r="D27" s="170"/>
      <c r="E27" s="170"/>
      <c r="F27" s="803"/>
      <c r="G27" s="806"/>
      <c r="H27" s="807"/>
      <c r="I27" s="2"/>
      <c r="J27" s="2"/>
      <c r="K27" s="2"/>
      <c r="L27" s="2"/>
      <c r="M27" s="2"/>
      <c r="N27" s="192"/>
      <c r="P27" s="35"/>
      <c r="Q27" s="35"/>
      <c r="R27" s="35"/>
      <c r="S27" s="42"/>
      <c r="T27" s="42"/>
      <c r="U27" s="41"/>
      <c r="V27" s="41"/>
      <c r="W27" s="41"/>
      <c r="X27" s="41"/>
      <c r="Y27" s="34"/>
      <c r="Z27" s="34"/>
      <c r="AA27" s="34"/>
      <c r="AB27" s="34"/>
      <c r="AC27" s="34"/>
    </row>
    <row r="28" spans="1:29" ht="14.4" hidden="1" customHeight="1" x14ac:dyDescent="0.3">
      <c r="A28" s="802" t="str">
        <f>Label_RTI_2LnRdbt</f>
        <v>2-lane Roundabout (No SPF/CMF Available)</v>
      </c>
      <c r="B28" s="295" t="s">
        <v>117</v>
      </c>
      <c r="C28" s="38"/>
      <c r="D28" s="169"/>
      <c r="E28" s="169"/>
      <c r="F28" s="803" t="str">
        <f>IF(OR(AND(ISNUMBER(C28),C28&gt;0),AND(ISNUMBER(E28),E28&gt;0)),X22,"--")</f>
        <v>--</v>
      </c>
      <c r="G28" s="804" t="s">
        <v>141</v>
      </c>
      <c r="H28" s="805"/>
      <c r="I28" s="2"/>
      <c r="J28" s="2"/>
      <c r="K28" s="2"/>
      <c r="L28" s="2"/>
      <c r="M28" s="2"/>
      <c r="N28" s="192"/>
      <c r="P28" s="35"/>
      <c r="Q28" s="35"/>
      <c r="R28" s="35"/>
      <c r="S28" s="42"/>
      <c r="T28" s="42"/>
      <c r="U28" s="41"/>
      <c r="V28" s="41"/>
      <c r="W28" s="41"/>
      <c r="X28" s="41"/>
      <c r="Y28" s="34"/>
      <c r="Z28" s="34"/>
      <c r="AA28" s="34"/>
      <c r="AB28" s="34"/>
      <c r="AC28" s="34"/>
    </row>
    <row r="29" spans="1:29" ht="14.4" hidden="1" customHeight="1" x14ac:dyDescent="0.3">
      <c r="A29" s="802"/>
      <c r="B29" s="295" t="s">
        <v>169</v>
      </c>
      <c r="C29" s="39"/>
      <c r="D29" s="170"/>
      <c r="E29" s="170"/>
      <c r="F29" s="803"/>
      <c r="G29" s="806"/>
      <c r="H29" s="807"/>
      <c r="I29" s="2"/>
      <c r="J29" s="2"/>
      <c r="K29" s="2"/>
      <c r="L29" s="2"/>
      <c r="M29" s="2"/>
      <c r="N29" s="192"/>
      <c r="P29" s="35"/>
      <c r="Q29" s="35"/>
      <c r="R29" s="35"/>
      <c r="S29" s="42"/>
      <c r="T29" s="42"/>
      <c r="U29" s="41"/>
      <c r="V29" s="41"/>
      <c r="W29" s="41"/>
      <c r="X29" s="41"/>
      <c r="Y29" s="34"/>
      <c r="Z29" s="34"/>
      <c r="AA29" s="34"/>
      <c r="AB29" s="34"/>
      <c r="AC29" s="34"/>
    </row>
    <row r="30" spans="1:29" ht="14.4" hidden="1" customHeight="1" x14ac:dyDescent="0.3">
      <c r="A30" s="802" t="str">
        <f>Label_RTI_Other1</f>
        <v>Other 1</v>
      </c>
      <c r="B30" s="295" t="s">
        <v>117</v>
      </c>
      <c r="C30" s="38"/>
      <c r="D30" s="169"/>
      <c r="E30" s="169"/>
      <c r="F30" s="803" t="str">
        <f>IF(OR(AND(ISNUMBER(C30),C30&gt;0),AND(ISNUMBER(E30),E30&gt;0)),X23,"--")</f>
        <v>--</v>
      </c>
      <c r="G30" s="804" t="s">
        <v>141</v>
      </c>
      <c r="H30" s="805"/>
      <c r="I30" s="2"/>
      <c r="J30" s="2"/>
      <c r="K30" s="2"/>
      <c r="L30" s="2"/>
      <c r="M30" s="2"/>
      <c r="N30" s="192"/>
      <c r="P30" s="34"/>
      <c r="Q30" s="34"/>
      <c r="R30" s="34"/>
      <c r="S30" s="35"/>
      <c r="T30" s="34"/>
      <c r="U30" s="34"/>
      <c r="V30" s="34"/>
      <c r="W30" s="34"/>
      <c r="X30" s="34"/>
      <c r="Y30" s="34"/>
      <c r="Z30" s="34"/>
      <c r="AA30" s="34"/>
      <c r="AB30" s="34"/>
      <c r="AC30" s="34"/>
    </row>
    <row r="31" spans="1:29" ht="15.75" hidden="1" customHeight="1" x14ac:dyDescent="0.3">
      <c r="A31" s="802"/>
      <c r="B31" s="295" t="s">
        <v>169</v>
      </c>
      <c r="C31" s="39"/>
      <c r="D31" s="170"/>
      <c r="E31" s="170"/>
      <c r="F31" s="803"/>
      <c r="G31" s="806"/>
      <c r="H31" s="807"/>
      <c r="I31" s="2"/>
      <c r="J31" s="2"/>
      <c r="K31" s="2"/>
      <c r="L31" s="2"/>
      <c r="M31" s="2"/>
      <c r="N31" s="192"/>
      <c r="P31" s="34"/>
      <c r="Q31" s="34"/>
      <c r="R31" s="34"/>
      <c r="S31" s="34"/>
      <c r="T31" s="34"/>
      <c r="U31" s="34"/>
      <c r="V31" s="34"/>
      <c r="W31" s="34"/>
      <c r="X31" s="34"/>
      <c r="Y31" s="34"/>
      <c r="Z31" s="34"/>
      <c r="AA31" s="34"/>
      <c r="AB31" s="34"/>
      <c r="AC31" s="34"/>
    </row>
    <row r="32" spans="1:29" ht="14.4" hidden="1" customHeight="1" x14ac:dyDescent="0.3">
      <c r="A32" s="802" t="str">
        <f>Label_RTI_Other2</f>
        <v>Other 2</v>
      </c>
      <c r="B32" s="295" t="s">
        <v>117</v>
      </c>
      <c r="C32" s="38"/>
      <c r="D32" s="169"/>
      <c r="E32" s="169"/>
      <c r="F32" s="803" t="str">
        <f>IF(OR(AND(ISNUMBER(C32),C32&gt;0),AND(ISNUMBER(E32),E32&gt;0)),X24,"--")</f>
        <v>--</v>
      </c>
      <c r="G32" s="804" t="s">
        <v>141</v>
      </c>
      <c r="H32" s="805"/>
      <c r="I32" s="2"/>
      <c r="J32" s="2"/>
      <c r="K32" s="2"/>
      <c r="L32" s="2"/>
      <c r="M32" s="2"/>
      <c r="N32" s="192"/>
      <c r="P32" s="34"/>
      <c r="Q32" s="34"/>
      <c r="R32" s="34"/>
      <c r="S32" s="35"/>
      <c r="T32" s="34"/>
      <c r="U32" s="34"/>
      <c r="V32" s="34"/>
      <c r="W32" s="34"/>
      <c r="X32" s="34"/>
      <c r="Y32" s="34"/>
      <c r="Z32" s="34"/>
      <c r="AA32" s="34"/>
      <c r="AB32" s="34"/>
      <c r="AC32" s="34"/>
    </row>
    <row r="33" spans="1:29" ht="14.4" hidden="1" customHeight="1" x14ac:dyDescent="0.3">
      <c r="A33" s="802"/>
      <c r="B33" s="295" t="s">
        <v>169</v>
      </c>
      <c r="C33" s="39"/>
      <c r="D33" s="170"/>
      <c r="E33" s="170"/>
      <c r="F33" s="803"/>
      <c r="G33" s="806"/>
      <c r="H33" s="807"/>
      <c r="I33" s="2"/>
      <c r="J33" s="2"/>
      <c r="K33" s="2"/>
      <c r="L33" s="2"/>
      <c r="M33" s="2"/>
      <c r="N33" s="192"/>
      <c r="P33" s="34"/>
      <c r="Q33" s="34"/>
      <c r="R33" s="34"/>
      <c r="S33" s="34"/>
      <c r="T33" s="34"/>
      <c r="U33" s="34"/>
      <c r="V33" s="34"/>
      <c r="W33" s="34"/>
      <c r="X33" s="34"/>
      <c r="Y33" s="34"/>
      <c r="Z33" s="34"/>
      <c r="AA33" s="34"/>
      <c r="AB33" s="34"/>
      <c r="AC33" s="34"/>
    </row>
    <row r="34" spans="1:29" ht="14.4" customHeight="1" x14ac:dyDescent="0.3">
      <c r="A34" s="301"/>
      <c r="B34" s="2"/>
      <c r="C34" s="2"/>
      <c r="D34" s="2"/>
      <c r="E34" s="2"/>
      <c r="F34" s="63"/>
      <c r="G34" s="63"/>
      <c r="H34" s="63"/>
      <c r="I34" s="2"/>
      <c r="J34" s="2"/>
      <c r="K34" s="2"/>
      <c r="L34" s="2"/>
      <c r="M34" s="2"/>
      <c r="N34" s="192"/>
      <c r="P34" s="34"/>
      <c r="Q34" s="34"/>
      <c r="R34" s="34"/>
      <c r="S34" s="35"/>
      <c r="T34" s="34"/>
      <c r="U34" s="34"/>
      <c r="V34" s="34"/>
      <c r="W34" s="34"/>
      <c r="X34" s="34"/>
      <c r="Y34" s="34"/>
      <c r="Z34" s="34"/>
      <c r="AA34" s="34"/>
      <c r="AB34" s="34"/>
      <c r="AC34" s="34"/>
    </row>
    <row r="35" spans="1:29" ht="14.4" customHeight="1" x14ac:dyDescent="0.3">
      <c r="A35" s="302"/>
      <c r="B35" s="2"/>
      <c r="C35" s="2"/>
      <c r="D35" s="2"/>
      <c r="E35" s="2"/>
      <c r="F35" s="303"/>
      <c r="G35" s="303"/>
      <c r="H35" s="303"/>
      <c r="I35" s="2"/>
      <c r="J35" s="2"/>
      <c r="K35" s="2"/>
      <c r="L35" s="2"/>
      <c r="M35" s="2"/>
      <c r="N35" s="192"/>
      <c r="P35" s="34"/>
      <c r="Q35" s="34"/>
      <c r="R35" s="34"/>
      <c r="S35" s="34"/>
      <c r="T35" s="34"/>
      <c r="U35" s="34"/>
      <c r="V35" s="34"/>
      <c r="W35" s="34"/>
      <c r="X35" s="34"/>
      <c r="Y35" s="34"/>
      <c r="Z35" s="34"/>
      <c r="AA35" s="34"/>
      <c r="AB35" s="34"/>
      <c r="AC35" s="34"/>
    </row>
    <row r="36" spans="1:29" ht="14.4" customHeight="1" thickBot="1" x14ac:dyDescent="0.35">
      <c r="A36" s="304"/>
      <c r="B36" s="195"/>
      <c r="C36" s="195"/>
      <c r="D36" s="195"/>
      <c r="E36" s="195"/>
      <c r="F36" s="305"/>
      <c r="G36" s="305"/>
      <c r="H36" s="305"/>
      <c r="I36" s="195"/>
      <c r="J36" s="195"/>
      <c r="K36" s="195"/>
      <c r="L36" s="195"/>
      <c r="M36" s="195"/>
      <c r="N36" s="196"/>
      <c r="P36" s="34"/>
      <c r="Q36" s="34"/>
      <c r="R36" s="34"/>
      <c r="S36" s="35"/>
      <c r="T36" s="34"/>
      <c r="U36" s="34"/>
      <c r="V36" s="34"/>
      <c r="W36" s="34"/>
      <c r="X36" s="34"/>
      <c r="Y36" s="34"/>
      <c r="Z36" s="34"/>
      <c r="AA36" s="34"/>
    </row>
    <row r="37" spans="1:29" ht="6" customHeight="1" x14ac:dyDescent="0.3">
      <c r="A37" s="43"/>
      <c r="F37" s="43"/>
      <c r="G37" s="43"/>
      <c r="H37" s="43"/>
      <c r="P37" s="34"/>
      <c r="Q37" s="34"/>
      <c r="R37" s="34"/>
      <c r="S37" s="34"/>
      <c r="T37" s="34"/>
      <c r="U37" s="34"/>
      <c r="V37" s="34"/>
      <c r="W37" s="34"/>
      <c r="X37" s="34"/>
      <c r="Y37" s="34"/>
      <c r="Z37" s="34"/>
      <c r="AA37" s="34"/>
    </row>
    <row r="38" spans="1:29" ht="14.4" customHeight="1" x14ac:dyDescent="0.3">
      <c r="A38" s="43"/>
      <c r="F38" s="43"/>
      <c r="G38" s="43"/>
      <c r="H38" s="43"/>
      <c r="P38" s="34"/>
      <c r="Q38" s="34"/>
      <c r="R38" s="34"/>
      <c r="S38" s="35"/>
      <c r="T38" s="34"/>
      <c r="U38" s="34"/>
      <c r="V38" s="34"/>
      <c r="W38" s="34"/>
      <c r="X38" s="34"/>
      <c r="Y38" s="34"/>
      <c r="Z38" s="34"/>
      <c r="AA38" s="34"/>
    </row>
    <row r="39" spans="1:29" ht="14.4" customHeight="1" x14ac:dyDescent="0.3">
      <c r="A39" s="43"/>
      <c r="F39" s="43"/>
      <c r="G39" s="43"/>
      <c r="H39" s="43"/>
    </row>
    <row r="40" spans="1:29" x14ac:dyDescent="0.3">
      <c r="A40" s="43"/>
      <c r="F40" s="43"/>
      <c r="G40" s="43"/>
      <c r="H40" s="43"/>
    </row>
    <row r="41" spans="1:29" x14ac:dyDescent="0.3">
      <c r="A41" s="43"/>
      <c r="F41" s="43"/>
      <c r="G41" s="43"/>
      <c r="H41" s="43"/>
    </row>
    <row r="42" spans="1:29" x14ac:dyDescent="0.3">
      <c r="A42" s="43"/>
      <c r="F42" s="43"/>
      <c r="G42" s="43"/>
      <c r="H42" s="43"/>
    </row>
    <row r="43" spans="1:29" x14ac:dyDescent="0.3">
      <c r="A43" s="43"/>
      <c r="F43" s="43"/>
      <c r="G43" s="43"/>
      <c r="H43" s="43"/>
    </row>
  </sheetData>
  <sheetProtection algorithmName="SHA-512" hashValue="deOgduKF7dZiUDpxoNqEmyqjyNy8YgSjEobIK0Imn1Nw0dricsD0BIFeFSN5DP/42f3PqaNlPJfuP388IFA22g==" saltValue="SmOY/cr9IJFSkR/NaS0vsQ==" spinCount="100000" sheet="1" objects="1" scenarios="1" formatCells="0" formatColumns="0" formatRows="0"/>
  <mergeCells count="58">
    <mergeCell ref="B6:D6"/>
    <mergeCell ref="E6:F6"/>
    <mergeCell ref="G6:H6"/>
    <mergeCell ref="A1:H1"/>
    <mergeCell ref="A2:H2"/>
    <mergeCell ref="A3:H3"/>
    <mergeCell ref="A4:H4"/>
    <mergeCell ref="A5:H5"/>
    <mergeCell ref="B7:D7"/>
    <mergeCell ref="E7:F7"/>
    <mergeCell ref="G7:H7"/>
    <mergeCell ref="B8:D8"/>
    <mergeCell ref="E8:F8"/>
    <mergeCell ref="G8:H8"/>
    <mergeCell ref="B9:D9"/>
    <mergeCell ref="E9:F9"/>
    <mergeCell ref="G9:H9"/>
    <mergeCell ref="B10:D10"/>
    <mergeCell ref="E10:F10"/>
    <mergeCell ref="G10:H10"/>
    <mergeCell ref="B11:D11"/>
    <mergeCell ref="E11:F11"/>
    <mergeCell ref="G11:H11"/>
    <mergeCell ref="B12:D12"/>
    <mergeCell ref="E12:F12"/>
    <mergeCell ref="G12:H12"/>
    <mergeCell ref="B13:D13"/>
    <mergeCell ref="E13:F13"/>
    <mergeCell ref="G13:H13"/>
    <mergeCell ref="A14:H14"/>
    <mergeCell ref="A16:A17"/>
    <mergeCell ref="F16:F17"/>
    <mergeCell ref="G15:H15"/>
    <mergeCell ref="G16:H17"/>
    <mergeCell ref="A18:A19"/>
    <mergeCell ref="F18:F19"/>
    <mergeCell ref="A20:A21"/>
    <mergeCell ref="F20:F21"/>
    <mergeCell ref="G18:H19"/>
    <mergeCell ref="G20:H21"/>
    <mergeCell ref="A22:A23"/>
    <mergeCell ref="F22:F23"/>
    <mergeCell ref="A24:A25"/>
    <mergeCell ref="F24:F25"/>
    <mergeCell ref="G22:H23"/>
    <mergeCell ref="G24:H25"/>
    <mergeCell ref="A26:A27"/>
    <mergeCell ref="F26:F27"/>
    <mergeCell ref="A28:A29"/>
    <mergeCell ref="F28:F29"/>
    <mergeCell ref="G26:H27"/>
    <mergeCell ref="G28:H29"/>
    <mergeCell ref="A30:A31"/>
    <mergeCell ref="F30:F31"/>
    <mergeCell ref="A32:A33"/>
    <mergeCell ref="F32:F33"/>
    <mergeCell ref="G30:H31"/>
    <mergeCell ref="G32:H33"/>
  </mergeCells>
  <conditionalFormatting sqref="F34:F39">
    <cfRule type="dataBar" priority="38">
      <dataBar>
        <cfvo type="num" val="11"/>
        <cfvo type="num" val="1"/>
        <color rgb="FF00CC66"/>
      </dataBar>
      <extLst>
        <ext xmlns:x14="http://schemas.microsoft.com/office/spreadsheetml/2009/9/main" uri="{B025F937-C7B1-47D3-B67F-A62EFF666E3E}">
          <x14:id>{737BFF3C-7AAE-4C42-826E-FEE027F412FE}</x14:id>
        </ext>
      </extLst>
    </cfRule>
  </conditionalFormatting>
  <conditionalFormatting sqref="F40:F41">
    <cfRule type="dataBar" priority="37">
      <dataBar>
        <cfvo type="num" val="11"/>
        <cfvo type="num" val="1"/>
        <color rgb="FF00CC66"/>
      </dataBar>
      <extLst>
        <ext xmlns:x14="http://schemas.microsoft.com/office/spreadsheetml/2009/9/main" uri="{B025F937-C7B1-47D3-B67F-A62EFF666E3E}">
          <x14:id>{86A9B21E-65FF-4BA1-BA42-0810C84FCC5B}</x14:id>
        </ext>
      </extLst>
    </cfRule>
  </conditionalFormatting>
  <conditionalFormatting sqref="F42:F43">
    <cfRule type="dataBar" priority="36">
      <dataBar>
        <cfvo type="num" val="11"/>
        <cfvo type="num" val="1"/>
        <color rgb="FF00CC66"/>
      </dataBar>
      <extLst>
        <ext xmlns:x14="http://schemas.microsoft.com/office/spreadsheetml/2009/9/main" uri="{B025F937-C7B1-47D3-B67F-A62EFF666E3E}">
          <x14:id>{BD4DD8E1-34DA-42E9-8DDF-E6B872784923}</x14:id>
        </ext>
      </extLst>
    </cfRule>
  </conditionalFormatting>
  <conditionalFormatting sqref="G34:G35">
    <cfRule type="expression" dxfId="16" priority="29">
      <formula>G34="No"</formula>
    </cfRule>
  </conditionalFormatting>
  <conditionalFormatting sqref="G38:G39">
    <cfRule type="expression" dxfId="15" priority="28">
      <formula>G38="No"</formula>
    </cfRule>
  </conditionalFormatting>
  <conditionalFormatting sqref="G40:G41">
    <cfRule type="expression" dxfId="14" priority="13">
      <formula>G40="No"</formula>
    </cfRule>
  </conditionalFormatting>
  <conditionalFormatting sqref="H34:H35">
    <cfRule type="expression" dxfId="13" priority="24">
      <formula>H34="No"</formula>
    </cfRule>
  </conditionalFormatting>
  <conditionalFormatting sqref="H38:H39">
    <cfRule type="expression" dxfId="12" priority="23">
      <formula>H38="No"</formula>
    </cfRule>
  </conditionalFormatting>
  <conditionalFormatting sqref="G36:G37">
    <cfRule type="expression" dxfId="11" priority="15">
      <formula>G36="No"</formula>
    </cfRule>
  </conditionalFormatting>
  <conditionalFormatting sqref="H36:H37">
    <cfRule type="expression" dxfId="10" priority="14">
      <formula>H36="No"</formula>
    </cfRule>
  </conditionalFormatting>
  <conditionalFormatting sqref="H40:H41">
    <cfRule type="expression" dxfId="9" priority="12">
      <formula>H40="No"</formula>
    </cfRule>
  </conditionalFormatting>
  <conditionalFormatting sqref="G42:G43">
    <cfRule type="expression" dxfId="8" priority="11">
      <formula>G42="No"</formula>
    </cfRule>
  </conditionalFormatting>
  <conditionalFormatting sqref="H42:H43">
    <cfRule type="expression" dxfId="7" priority="10">
      <formula>H42="No"</formula>
    </cfRule>
  </conditionalFormatting>
  <conditionalFormatting sqref="F16:F33">
    <cfRule type="dataBar" priority="8">
      <dataBar>
        <cfvo type="num" val="11"/>
        <cfvo type="num" val="1"/>
        <color rgb="FF00CC66"/>
      </dataBar>
      <extLst>
        <ext xmlns:x14="http://schemas.microsoft.com/office/spreadsheetml/2009/9/main" uri="{B025F937-C7B1-47D3-B67F-A62EFF666E3E}">
          <x14:id>{BFAAAD8B-4ABC-463C-84D5-8438F835EC82}</x14:id>
        </ext>
      </extLst>
    </cfRule>
  </conditionalFormatting>
  <conditionalFormatting sqref="G20">
    <cfRule type="expression" dxfId="6" priority="6">
      <formula>G20="No"</formula>
    </cfRule>
  </conditionalFormatting>
  <conditionalFormatting sqref="G22">
    <cfRule type="expression" dxfId="5" priority="5">
      <formula>G22="No"</formula>
    </cfRule>
  </conditionalFormatting>
  <conditionalFormatting sqref="G26">
    <cfRule type="expression" dxfId="4" priority="4">
      <formula>G26="No"</formula>
    </cfRule>
  </conditionalFormatting>
  <conditionalFormatting sqref="G28">
    <cfRule type="expression" dxfId="3" priority="3">
      <formula>G28="No"</formula>
    </cfRule>
  </conditionalFormatting>
  <conditionalFormatting sqref="G30">
    <cfRule type="expression" dxfId="2" priority="2">
      <formula>G30="No"</formula>
    </cfRule>
  </conditionalFormatting>
  <conditionalFormatting sqref="G32">
    <cfRule type="expression" dxfId="1" priority="1">
      <formula>G32="No"</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82" r:id="rId4" name="Button 2">
              <controlPr defaultSize="0" print="0" autoFill="0" autoPict="0" macro="[0]!ComputeResultsRTI">
                <anchor moveWithCells="1" sizeWithCells="1">
                  <from>
                    <xdr:col>9</xdr:col>
                    <xdr:colOff>198120</xdr:colOff>
                    <xdr:row>4</xdr:row>
                    <xdr:rowOff>182880</xdr:rowOff>
                  </from>
                  <to>
                    <xdr:col>11</xdr:col>
                    <xdr:colOff>571500</xdr:colOff>
                    <xdr:row>8</xdr:row>
                    <xdr:rowOff>22860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737BFF3C-7AAE-4C42-826E-FEE027F412FE}">
            <x14:dataBar minLength="0" maxLength="100" negativeBarColorSameAsPositive="1" axisPosition="none">
              <x14:cfvo type="num">
                <xm:f>11</xm:f>
              </x14:cfvo>
              <x14:cfvo type="num">
                <xm:f>1</xm:f>
              </x14:cfvo>
            </x14:dataBar>
          </x14:cfRule>
          <xm:sqref>F34:F39</xm:sqref>
        </x14:conditionalFormatting>
        <x14:conditionalFormatting xmlns:xm="http://schemas.microsoft.com/office/excel/2006/main">
          <x14:cfRule type="dataBar" id="{86A9B21E-65FF-4BA1-BA42-0810C84FCC5B}">
            <x14:dataBar minLength="0" maxLength="100" negativeBarColorSameAsPositive="1" axisPosition="none">
              <x14:cfvo type="num">
                <xm:f>11</xm:f>
              </x14:cfvo>
              <x14:cfvo type="num">
                <xm:f>1</xm:f>
              </x14:cfvo>
            </x14:dataBar>
          </x14:cfRule>
          <xm:sqref>F40:F41</xm:sqref>
        </x14:conditionalFormatting>
        <x14:conditionalFormatting xmlns:xm="http://schemas.microsoft.com/office/excel/2006/main">
          <x14:cfRule type="dataBar" id="{BD4DD8E1-34DA-42E9-8DDF-E6B872784923}">
            <x14:dataBar minLength="0" maxLength="100" negativeBarColorSameAsPositive="1" axisPosition="none">
              <x14:cfvo type="num">
                <xm:f>11</xm:f>
              </x14:cfvo>
              <x14:cfvo type="num">
                <xm:f>1</xm:f>
              </x14:cfvo>
            </x14:dataBar>
          </x14:cfRule>
          <xm:sqref>F42:F43</xm:sqref>
        </x14:conditionalFormatting>
        <x14:conditionalFormatting xmlns:xm="http://schemas.microsoft.com/office/excel/2006/main">
          <x14:cfRule type="dataBar" id="{BFAAAD8B-4ABC-463C-84D5-8438F835EC82}">
            <x14:dataBar minLength="0" maxLength="100" negativeBarColorSameAsPositive="1" axisPosition="none">
              <x14:cfvo type="num">
                <xm:f>11</xm:f>
              </x14:cfvo>
              <x14:cfvo type="num">
                <xm:f>1</xm:f>
              </x14:cfvo>
            </x14:dataBar>
          </x14:cfRule>
          <xm:sqref>F16:F33</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showInputMessage="1" showErrorMessage="1" xr:uid="{00000000-0002-0000-0A00-000000000000}">
          <x14:formula1>
            <xm:f>Notes!$A$76:$A$77</xm:f>
          </x14:formula1>
          <xm:sqref>P6:R6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theme="4" tint="0.59999389629810485"/>
  </sheetPr>
  <dimension ref="A1:S77"/>
  <sheetViews>
    <sheetView workbookViewId="0">
      <selection activeCell="A32" sqref="A32"/>
    </sheetView>
  </sheetViews>
  <sheetFormatPr defaultRowHeight="14.4" x14ac:dyDescent="0.3"/>
  <sheetData>
    <row r="1" spans="1:1" ht="25.8" customHeight="1" x14ac:dyDescent="0.3">
      <c r="A1" s="322" t="s">
        <v>479</v>
      </c>
    </row>
    <row r="2" spans="1:1" ht="18" x14ac:dyDescent="0.35">
      <c r="A2" s="16" t="s">
        <v>71</v>
      </c>
    </row>
    <row r="3" spans="1:1" x14ac:dyDescent="0.3">
      <c r="A3" s="319" t="s">
        <v>95</v>
      </c>
    </row>
    <row r="4" spans="1:1" x14ac:dyDescent="0.3">
      <c r="A4">
        <v>1</v>
      </c>
    </row>
    <row r="5" spans="1:1" x14ac:dyDescent="0.3">
      <c r="A5">
        <v>2</v>
      </c>
    </row>
    <row r="6" spans="1:1" x14ac:dyDescent="0.3">
      <c r="A6">
        <v>3</v>
      </c>
    </row>
    <row r="7" spans="1:1" x14ac:dyDescent="0.3">
      <c r="A7">
        <v>4</v>
      </c>
    </row>
    <row r="8" spans="1:1" x14ac:dyDescent="0.3">
      <c r="A8">
        <v>5</v>
      </c>
    </row>
    <row r="10" spans="1:1" x14ac:dyDescent="0.3">
      <c r="A10" s="319" t="s">
        <v>96</v>
      </c>
    </row>
    <row r="11" spans="1:1" x14ac:dyDescent="0.3">
      <c r="A11" t="s">
        <v>97</v>
      </c>
    </row>
    <row r="12" spans="1:1" x14ac:dyDescent="0.3">
      <c r="A12" t="s">
        <v>98</v>
      </c>
    </row>
    <row r="14" spans="1:1" x14ac:dyDescent="0.3">
      <c r="A14" s="319" t="s">
        <v>106</v>
      </c>
    </row>
    <row r="15" spans="1:1" x14ac:dyDescent="0.3">
      <c r="A15" t="s">
        <v>69</v>
      </c>
    </row>
    <row r="16" spans="1:1" x14ac:dyDescent="0.3">
      <c r="A16" t="s">
        <v>478</v>
      </c>
    </row>
    <row r="18" spans="1:19" x14ac:dyDescent="0.3">
      <c r="A18" s="320" t="s">
        <v>73</v>
      </c>
      <c r="J18" s="319" t="s">
        <v>72</v>
      </c>
      <c r="Q18" s="319" t="s">
        <v>81</v>
      </c>
    </row>
    <row r="19" spans="1:19" x14ac:dyDescent="0.3">
      <c r="A19" s="2" t="s">
        <v>43</v>
      </c>
      <c r="J19" s="2" t="s">
        <v>18</v>
      </c>
      <c r="Q19" t="s">
        <v>167</v>
      </c>
    </row>
    <row r="20" spans="1:19" x14ac:dyDescent="0.3">
      <c r="A20" s="2" t="s">
        <v>56</v>
      </c>
      <c r="J20" s="2" t="s">
        <v>26</v>
      </c>
      <c r="Q20" t="s">
        <v>89</v>
      </c>
    </row>
    <row r="21" spans="1:19" x14ac:dyDescent="0.3">
      <c r="A21" s="2" t="s">
        <v>70</v>
      </c>
      <c r="J21" s="2" t="s">
        <v>28</v>
      </c>
      <c r="Q21" t="s">
        <v>141</v>
      </c>
    </row>
    <row r="22" spans="1:19" x14ac:dyDescent="0.3">
      <c r="A22" s="2" t="s">
        <v>124</v>
      </c>
      <c r="J22" s="2" t="s">
        <v>29</v>
      </c>
      <c r="Q22" s="319" t="s">
        <v>111</v>
      </c>
    </row>
    <row r="23" spans="1:19" x14ac:dyDescent="0.3">
      <c r="A23" s="3" t="s">
        <v>125</v>
      </c>
      <c r="J23" s="2" t="s">
        <v>124</v>
      </c>
      <c r="Q23" t="s">
        <v>91</v>
      </c>
    </row>
    <row r="24" spans="1:19" x14ac:dyDescent="0.3">
      <c r="A24" s="2" t="s">
        <v>466</v>
      </c>
      <c r="J24" s="3" t="s">
        <v>125</v>
      </c>
      <c r="Q24" t="s">
        <v>92</v>
      </c>
    </row>
    <row r="25" spans="1:19" x14ac:dyDescent="0.3">
      <c r="A25" s="2" t="s">
        <v>115</v>
      </c>
      <c r="J25" s="321" t="s">
        <v>99</v>
      </c>
      <c r="Q25" t="s">
        <v>128</v>
      </c>
    </row>
    <row r="26" spans="1:19" x14ac:dyDescent="0.3">
      <c r="A26" s="2" t="s">
        <v>60</v>
      </c>
      <c r="J26" s="3" t="s">
        <v>100</v>
      </c>
      <c r="Q26" t="s">
        <v>141</v>
      </c>
    </row>
    <row r="27" spans="1:19" x14ac:dyDescent="0.3">
      <c r="A27" s="2" t="s">
        <v>61</v>
      </c>
      <c r="J27" s="3" t="s">
        <v>101</v>
      </c>
    </row>
    <row r="28" spans="1:19" x14ac:dyDescent="0.3">
      <c r="A28" s="2" t="s">
        <v>467</v>
      </c>
    </row>
    <row r="29" spans="1:19" x14ac:dyDescent="0.3">
      <c r="A29" s="2" t="s">
        <v>126</v>
      </c>
      <c r="Q29">
        <v>0</v>
      </c>
      <c r="S29">
        <v>0</v>
      </c>
    </row>
    <row r="30" spans="1:19" x14ac:dyDescent="0.3">
      <c r="A30" s="2"/>
      <c r="Q30">
        <v>1</v>
      </c>
      <c r="S30">
        <v>1</v>
      </c>
    </row>
    <row r="31" spans="1:19" x14ac:dyDescent="0.3">
      <c r="A31" s="320" t="s">
        <v>36</v>
      </c>
      <c r="Q31">
        <v>2</v>
      </c>
      <c r="S31">
        <v>2</v>
      </c>
    </row>
    <row r="32" spans="1:19" x14ac:dyDescent="0.3">
      <c r="A32" s="2" t="s">
        <v>474</v>
      </c>
      <c r="Q32">
        <v>3</v>
      </c>
      <c r="S32">
        <v>3</v>
      </c>
    </row>
    <row r="33" spans="1:19" x14ac:dyDescent="0.3">
      <c r="A33" s="2" t="s">
        <v>48</v>
      </c>
      <c r="Q33">
        <v>4</v>
      </c>
      <c r="S33">
        <v>4</v>
      </c>
    </row>
    <row r="34" spans="1:19" x14ac:dyDescent="0.3">
      <c r="A34" s="2" t="s">
        <v>49</v>
      </c>
      <c r="J34" s="321" t="s">
        <v>80</v>
      </c>
      <c r="Q34" t="s">
        <v>141</v>
      </c>
      <c r="S34">
        <v>5</v>
      </c>
    </row>
    <row r="35" spans="1:19" x14ac:dyDescent="0.3">
      <c r="A35" s="3" t="s">
        <v>141</v>
      </c>
      <c r="J35" s="2" t="s">
        <v>19</v>
      </c>
      <c r="S35">
        <v>6</v>
      </c>
    </row>
    <row r="36" spans="1:19" x14ac:dyDescent="0.3">
      <c r="A36" s="3"/>
      <c r="J36" s="2" t="s">
        <v>20</v>
      </c>
      <c r="S36">
        <v>7</v>
      </c>
    </row>
    <row r="37" spans="1:19" x14ac:dyDescent="0.3">
      <c r="A37" s="3" t="s">
        <v>433</v>
      </c>
      <c r="J37" s="2" t="s">
        <v>21</v>
      </c>
      <c r="S37">
        <v>8</v>
      </c>
    </row>
    <row r="38" spans="1:19" x14ac:dyDescent="0.3">
      <c r="A38" s="3" t="s">
        <v>132</v>
      </c>
      <c r="J38" s="2" t="s">
        <v>22</v>
      </c>
    </row>
    <row r="39" spans="1:19" x14ac:dyDescent="0.3">
      <c r="A39" s="3" t="s">
        <v>432</v>
      </c>
      <c r="J39" s="2" t="s">
        <v>23</v>
      </c>
    </row>
    <row r="40" spans="1:19" x14ac:dyDescent="0.3">
      <c r="A40" s="3" t="s">
        <v>131</v>
      </c>
      <c r="J40" s="2" t="s">
        <v>24</v>
      </c>
    </row>
    <row r="41" spans="1:19" x14ac:dyDescent="0.3">
      <c r="A41" s="2"/>
      <c r="J41" s="2" t="s">
        <v>25</v>
      </c>
    </row>
    <row r="42" spans="1:19" x14ac:dyDescent="0.3">
      <c r="A42" s="2"/>
      <c r="J42" s="2" t="s">
        <v>27</v>
      </c>
    </row>
    <row r="43" spans="1:19" x14ac:dyDescent="0.3">
      <c r="A43" s="2"/>
      <c r="J43" s="2" t="s">
        <v>31</v>
      </c>
    </row>
    <row r="44" spans="1:19" x14ac:dyDescent="0.3">
      <c r="A44" s="2"/>
      <c r="J44" s="2" t="s">
        <v>32</v>
      </c>
    </row>
    <row r="45" spans="1:19" x14ac:dyDescent="0.3">
      <c r="J45" s="2" t="s">
        <v>33</v>
      </c>
    </row>
    <row r="46" spans="1:19" x14ac:dyDescent="0.3">
      <c r="J46" s="2" t="s">
        <v>34</v>
      </c>
    </row>
    <row r="47" spans="1:19" x14ac:dyDescent="0.3">
      <c r="A47" s="319" t="s">
        <v>74</v>
      </c>
    </row>
    <row r="48" spans="1:19" x14ac:dyDescent="0.3">
      <c r="A48" t="s">
        <v>75</v>
      </c>
      <c r="J48" s="319" t="s">
        <v>130</v>
      </c>
    </row>
    <row r="49" spans="1:10" x14ac:dyDescent="0.3">
      <c r="A49" t="s">
        <v>76</v>
      </c>
      <c r="J49" t="s">
        <v>131</v>
      </c>
    </row>
    <row r="50" spans="1:10" x14ac:dyDescent="0.3">
      <c r="A50" s="3" t="s">
        <v>141</v>
      </c>
      <c r="J50" t="s">
        <v>432</v>
      </c>
    </row>
    <row r="51" spans="1:10" x14ac:dyDescent="0.3">
      <c r="J51" t="s">
        <v>132</v>
      </c>
    </row>
    <row r="53" spans="1:10" x14ac:dyDescent="0.3">
      <c r="A53" s="319" t="s">
        <v>77</v>
      </c>
    </row>
    <row r="54" spans="1:10" x14ac:dyDescent="0.3">
      <c r="A54" t="s">
        <v>152</v>
      </c>
      <c r="J54" s="319" t="s">
        <v>393</v>
      </c>
    </row>
    <row r="55" spans="1:10" x14ac:dyDescent="0.3">
      <c r="A55" t="s">
        <v>153</v>
      </c>
      <c r="J55" t="str">
        <f>Label_RTI_D4TS</f>
        <v>Conventional Traffic Signal</v>
      </c>
    </row>
    <row r="56" spans="1:10" x14ac:dyDescent="0.3">
      <c r="A56" t="s">
        <v>154</v>
      </c>
      <c r="J56" t="str">
        <f>Label_RTI_D4TSA</f>
        <v>Conventional Traffic Signal (Alt)</v>
      </c>
    </row>
    <row r="57" spans="1:10" x14ac:dyDescent="0.3">
      <c r="A57" s="3"/>
      <c r="J57" t="str">
        <f>Label_RTI_D4MS</f>
        <v>Minor Road (ramp) Stop</v>
      </c>
    </row>
    <row r="59" spans="1:10" x14ac:dyDescent="0.3">
      <c r="A59" s="319" t="s">
        <v>78</v>
      </c>
    </row>
    <row r="60" spans="1:10" x14ac:dyDescent="0.3">
      <c r="A60" t="s">
        <v>51</v>
      </c>
    </row>
    <row r="61" spans="1:10" x14ac:dyDescent="0.3">
      <c r="A61" t="s">
        <v>52</v>
      </c>
    </row>
    <row r="62" spans="1:10" x14ac:dyDescent="0.3">
      <c r="A62" s="3"/>
    </row>
    <row r="65" spans="1:1" x14ac:dyDescent="0.3">
      <c r="A65" s="319" t="s">
        <v>148</v>
      </c>
    </row>
    <row r="66" spans="1:1" x14ac:dyDescent="0.3">
      <c r="A66" t="s">
        <v>195</v>
      </c>
    </row>
    <row r="67" spans="1:1" x14ac:dyDescent="0.3">
      <c r="A67" t="s">
        <v>158</v>
      </c>
    </row>
    <row r="75" spans="1:1" x14ac:dyDescent="0.3">
      <c r="A75" s="319" t="s">
        <v>190</v>
      </c>
    </row>
    <row r="76" spans="1:1" x14ac:dyDescent="0.3">
      <c r="A76" t="s">
        <v>191</v>
      </c>
    </row>
    <row r="77" spans="1:1" x14ac:dyDescent="0.3">
      <c r="A77" t="s">
        <v>192</v>
      </c>
    </row>
  </sheetData>
  <sheetProtection algorithmName="SHA-512" hashValue="6RgmluLAFlEA6uDHXFvWFFrKJ7nY6Veis1fXQc9Pe0iVqCd1qaS82pBhaPc6mM6YwBKCz9V1dgBHWEGyZXvs1g==" saltValue="ac0fUMhWH3vSYfDvYEYsBA==" spinCount="100000" sheet="1" objects="1" scenario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tabColor theme="4" tint="0.59999389629810485"/>
  </sheetPr>
  <dimension ref="A1:B29"/>
  <sheetViews>
    <sheetView topLeftCell="A31" workbookViewId="0">
      <selection activeCell="A2" sqref="A2"/>
    </sheetView>
  </sheetViews>
  <sheetFormatPr defaultRowHeight="14.4" x14ac:dyDescent="0.3"/>
  <cols>
    <col min="1" max="1" width="58.109375" customWidth="1"/>
  </cols>
  <sheetData>
    <row r="1" spans="1:2" ht="18" x14ac:dyDescent="0.35">
      <c r="A1" s="16" t="s">
        <v>481</v>
      </c>
    </row>
    <row r="2" spans="1:2" x14ac:dyDescent="0.3">
      <c r="A2" s="319" t="s">
        <v>143</v>
      </c>
    </row>
    <row r="3" spans="1:2" x14ac:dyDescent="0.3">
      <c r="A3" s="2" t="s">
        <v>201</v>
      </c>
      <c r="B3" s="64" t="b">
        <f>IF('Control Strategy Selection'!B19:C19=Notes!$Q$19,TRUE,FALSE)</f>
        <v>1</v>
      </c>
    </row>
    <row r="4" spans="1:2" x14ac:dyDescent="0.3">
      <c r="A4" s="2" t="s">
        <v>202</v>
      </c>
      <c r="B4" s="64" t="b">
        <f>IF('Control Strategy Selection'!B20:C20=Notes!$Q$19,TRUE,FALSE)</f>
        <v>1</v>
      </c>
    </row>
    <row r="5" spans="1:2" x14ac:dyDescent="0.3">
      <c r="A5" s="2" t="s">
        <v>56</v>
      </c>
      <c r="B5" s="64" t="b">
        <f>IF('Control Strategy Selection'!B21:C21=Notes!$Q$19,TRUE,FALSE)</f>
        <v>1</v>
      </c>
    </row>
    <row r="6" spans="1:2" x14ac:dyDescent="0.3">
      <c r="A6" s="2" t="s">
        <v>70</v>
      </c>
      <c r="B6" s="64" t="b">
        <f>IF('Control Strategy Selection'!B22:C22=Notes!$Q$19,TRUE,FALSE)</f>
        <v>0</v>
      </c>
    </row>
    <row r="7" spans="1:2" x14ac:dyDescent="0.3">
      <c r="A7" s="2" t="s">
        <v>124</v>
      </c>
      <c r="B7" s="64" t="b">
        <f>IF('Control Strategy Selection'!B23:C23=Notes!$Q$19,TRUE,FALSE)</f>
        <v>1</v>
      </c>
    </row>
    <row r="8" spans="1:2" x14ac:dyDescent="0.3">
      <c r="A8" s="3" t="s">
        <v>125</v>
      </c>
      <c r="B8" s="64" t="b">
        <f>IF('Control Strategy Selection'!B24:C24=Notes!$Q$19,TRUE,FALSE)</f>
        <v>1</v>
      </c>
    </row>
    <row r="9" spans="1:2" x14ac:dyDescent="0.3">
      <c r="A9" s="2" t="s">
        <v>466</v>
      </c>
      <c r="B9" s="64" t="b">
        <f>IF('Control Strategy Selection'!B25:C25=Notes!$Q$19,TRUE,FALSE)</f>
        <v>1</v>
      </c>
    </row>
    <row r="10" spans="1:2" x14ac:dyDescent="0.3">
      <c r="A10" s="2" t="s">
        <v>115</v>
      </c>
      <c r="B10" s="64" t="b">
        <f>IF('Control Strategy Selection'!B26:C26=Notes!$Q$19,TRUE,FALSE)</f>
        <v>1</v>
      </c>
    </row>
    <row r="11" spans="1:2" x14ac:dyDescent="0.3">
      <c r="A11" s="2" t="s">
        <v>60</v>
      </c>
      <c r="B11" s="64" t="b">
        <f>IF('Control Strategy Selection'!B27:C27=Notes!$Q$19,TRUE,FALSE)</f>
        <v>1</v>
      </c>
    </row>
    <row r="12" spans="1:2" x14ac:dyDescent="0.3">
      <c r="A12" s="2" t="s">
        <v>61</v>
      </c>
      <c r="B12" s="64" t="b">
        <f>IF('Control Strategy Selection'!B28:C28=Notes!$Q$19,TRUE,FALSE)</f>
        <v>1</v>
      </c>
    </row>
    <row r="13" spans="1:2" x14ac:dyDescent="0.3">
      <c r="A13" s="2" t="s">
        <v>467</v>
      </c>
      <c r="B13" s="64" t="b">
        <f>IF('Control Strategy Selection'!B29:C29=Notes!$Q$19,TRUE,FALSE)</f>
        <v>1</v>
      </c>
    </row>
    <row r="14" spans="1:2" x14ac:dyDescent="0.3">
      <c r="A14" s="2" t="s">
        <v>126</v>
      </c>
      <c r="B14" s="64" t="b">
        <f>IF('Control Strategy Selection'!B30:C30=Notes!$Q$19,TRUE,FALSE)</f>
        <v>0</v>
      </c>
    </row>
    <row r="15" spans="1:2" x14ac:dyDescent="0.3">
      <c r="A15" s="3" t="s">
        <v>200</v>
      </c>
      <c r="B15" s="64" t="b">
        <f>IF('Control Strategy Selection'!B31:C31=Notes!$Q$19,TRUE,FALSE)</f>
        <v>0</v>
      </c>
    </row>
    <row r="16" spans="1:2" x14ac:dyDescent="0.3">
      <c r="A16" s="3" t="s">
        <v>200</v>
      </c>
      <c r="B16" s="64" t="b">
        <f>IF('Control Strategy Selection'!B32:C32=Notes!$Q$19,TRUE,FALSE)</f>
        <v>0</v>
      </c>
    </row>
    <row r="17" spans="1:2" x14ac:dyDescent="0.3">
      <c r="A17" s="2"/>
    </row>
    <row r="20" spans="1:2" x14ac:dyDescent="0.3">
      <c r="A20" s="320" t="s">
        <v>480</v>
      </c>
    </row>
    <row r="21" spans="1:2" x14ac:dyDescent="0.3">
      <c r="A21" s="2" t="str">
        <f>Label_RTI_D4TS</f>
        <v>Conventional Traffic Signal</v>
      </c>
      <c r="B21" t="b">
        <f>IF('Control Strategy Selection'!B61:C61=Notes!$Q$19,TRUE,FALSE)</f>
        <v>1</v>
      </c>
    </row>
    <row r="22" spans="1:2" x14ac:dyDescent="0.3">
      <c r="A22" s="2" t="str">
        <f>Label_RTI_D4TSA</f>
        <v>Conventional Traffic Signal (Alt)</v>
      </c>
      <c r="B22" t="b">
        <f>IF('Control Strategy Selection'!B62:C62=Notes!$Q$19,TRUE,FALSE)</f>
        <v>1</v>
      </c>
    </row>
    <row r="23" spans="1:2" x14ac:dyDescent="0.3">
      <c r="A23" s="2" t="str">
        <f>Label_RTI_DDI</f>
        <v>Crossover Traffic Signal (of DDI)</v>
      </c>
      <c r="B23" t="b">
        <f>IF('Control Strategy Selection'!B63:C63=Notes!$Q$19,TRUE,FALSE)</f>
        <v>1</v>
      </c>
    </row>
    <row r="24" spans="1:2" x14ac:dyDescent="0.3">
      <c r="A24" s="2" t="str">
        <f>Label_RTI_SPUI</f>
        <v>Single-Point Diamond Traffic Signal</v>
      </c>
      <c r="B24" t="b">
        <f>IF('Control Strategy Selection'!B64:C64=Notes!$Q$19,TRUE,FALSE)</f>
        <v>0</v>
      </c>
    </row>
    <row r="25" spans="1:2" x14ac:dyDescent="0.3">
      <c r="A25" s="2" t="str">
        <f>Label_RTI_D4MS</f>
        <v>Minor Road (ramp) Stop</v>
      </c>
      <c r="B25" t="b">
        <f>IF('Control Strategy Selection'!B65:C65=Notes!$Q$19,TRUE,FALSE)</f>
        <v>1</v>
      </c>
    </row>
    <row r="26" spans="1:2" x14ac:dyDescent="0.3">
      <c r="A26" s="2" t="str">
        <f>Label_RTI_1LnRdbt</f>
        <v>1-lane Roundabout (No SPF/CMF Available)</v>
      </c>
      <c r="B26" t="b">
        <f>IF('Control Strategy Selection'!B66:C66=Notes!$Q$19,TRUE,FALSE)</f>
        <v>0</v>
      </c>
    </row>
    <row r="27" spans="1:2" x14ac:dyDescent="0.3">
      <c r="A27" s="3" t="str">
        <f>Label_RTI_2LnRdbt</f>
        <v>2-lane Roundabout (No SPF/CMF Available)</v>
      </c>
      <c r="B27" t="b">
        <f>IF('Control Strategy Selection'!B67:C67=Notes!$Q$19,TRUE,FALSE)</f>
        <v>0</v>
      </c>
    </row>
    <row r="28" spans="1:2" x14ac:dyDescent="0.3">
      <c r="A28" s="3" t="str">
        <f>Label_RTI_Other1</f>
        <v>Other 1</v>
      </c>
      <c r="B28" t="b">
        <f>IF('Control Strategy Selection'!B68:C68=Notes!$Q$19,TRUE,FALSE)</f>
        <v>0</v>
      </c>
    </row>
    <row r="29" spans="1:2" x14ac:dyDescent="0.3">
      <c r="A29" s="3" t="str">
        <f>Label_RTI_Other2</f>
        <v>Other 2</v>
      </c>
      <c r="B29" t="b">
        <f>IF('Control Strategy Selection'!B69:C69=Notes!$Q$19,TRUE,FALSE)</f>
        <v>0</v>
      </c>
    </row>
  </sheetData>
  <sheetProtection algorithmName="SHA-512" hashValue="x0r/YdhWKqLar5u28SOg1x0vxzw7IiSoJFzK9Dfj+5vPV5OCyv8ViiPgVOYWBTPqi11wm1KUB/GjEsn924rSNw==" saltValue="oB7zJp2qDBUy0tkdQhVw7Q==" spinCount="100000" sheet="1" objects="1" scenarios="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tabColor theme="4" tint="0.59999389629810485"/>
  </sheetPr>
  <dimension ref="A1:H93"/>
  <sheetViews>
    <sheetView workbookViewId="0">
      <selection activeCell="A38" sqref="A38"/>
    </sheetView>
  </sheetViews>
  <sheetFormatPr defaultRowHeight="14.4" x14ac:dyDescent="0.3"/>
  <sheetData>
    <row r="1" spans="1:1" ht="21" x14ac:dyDescent="0.4">
      <c r="A1" s="323" t="s">
        <v>482</v>
      </c>
    </row>
    <row r="3" spans="1:1" ht="18" x14ac:dyDescent="0.35">
      <c r="A3" s="16" t="s">
        <v>144</v>
      </c>
    </row>
    <row r="4" spans="1:1" x14ac:dyDescent="0.3">
      <c r="A4" s="319" t="s">
        <v>143</v>
      </c>
    </row>
    <row r="5" spans="1:1" x14ac:dyDescent="0.3">
      <c r="A5" s="2" t="s">
        <v>43</v>
      </c>
    </row>
    <row r="6" spans="1:1" x14ac:dyDescent="0.3">
      <c r="A6" s="2" t="s">
        <v>56</v>
      </c>
    </row>
    <row r="7" spans="1:1" x14ac:dyDescent="0.3">
      <c r="A7" s="2" t="s">
        <v>70</v>
      </c>
    </row>
    <row r="8" spans="1:1" x14ac:dyDescent="0.3">
      <c r="A8" s="2" t="s">
        <v>124</v>
      </c>
    </row>
    <row r="9" spans="1:1" x14ac:dyDescent="0.3">
      <c r="A9" s="3" t="s">
        <v>125</v>
      </c>
    </row>
    <row r="10" spans="1:1" x14ac:dyDescent="0.3">
      <c r="A10" s="2" t="s">
        <v>466</v>
      </c>
    </row>
    <row r="11" spans="1:1" x14ac:dyDescent="0.3">
      <c r="A11" s="2" t="s">
        <v>115</v>
      </c>
    </row>
    <row r="12" spans="1:1" x14ac:dyDescent="0.3">
      <c r="A12" s="2" t="s">
        <v>145</v>
      </c>
    </row>
    <row r="13" spans="1:1" x14ac:dyDescent="0.3">
      <c r="A13" s="2" t="s">
        <v>146</v>
      </c>
    </row>
    <row r="14" spans="1:1" x14ac:dyDescent="0.3">
      <c r="A14" s="2" t="s">
        <v>467</v>
      </c>
    </row>
    <row r="15" spans="1:1" x14ac:dyDescent="0.3">
      <c r="A15" s="2" t="s">
        <v>126</v>
      </c>
    </row>
    <row r="16" spans="1:1" x14ac:dyDescent="0.3">
      <c r="A16" s="2"/>
    </row>
    <row r="19" spans="1:1" x14ac:dyDescent="0.3">
      <c r="A19" s="320" t="s">
        <v>150</v>
      </c>
    </row>
    <row r="20" spans="1:1" x14ac:dyDescent="0.3">
      <c r="A20" s="2" t="s">
        <v>18</v>
      </c>
    </row>
    <row r="21" spans="1:1" x14ac:dyDescent="0.3">
      <c r="A21" s="2" t="s">
        <v>26</v>
      </c>
    </row>
    <row r="22" spans="1:1" x14ac:dyDescent="0.3">
      <c r="A22" s="2" t="s">
        <v>28</v>
      </c>
    </row>
    <row r="23" spans="1:1" x14ac:dyDescent="0.3">
      <c r="A23" s="2" t="s">
        <v>29</v>
      </c>
    </row>
    <row r="24" spans="1:1" x14ac:dyDescent="0.3">
      <c r="A24" s="2" t="s">
        <v>124</v>
      </c>
    </row>
    <row r="25" spans="1:1" x14ac:dyDescent="0.3">
      <c r="A25" s="3" t="s">
        <v>125</v>
      </c>
    </row>
    <row r="33" spans="1:1" x14ac:dyDescent="0.3">
      <c r="A33" s="4" t="s">
        <v>149</v>
      </c>
    </row>
    <row r="34" spans="1:1" x14ac:dyDescent="0.3">
      <c r="A34" s="2" t="s">
        <v>474</v>
      </c>
    </row>
    <row r="35" spans="1:1" x14ac:dyDescent="0.3">
      <c r="A35" s="2" t="s">
        <v>48</v>
      </c>
    </row>
    <row r="36" spans="1:1" x14ac:dyDescent="0.3">
      <c r="A36" s="2" t="s">
        <v>49</v>
      </c>
    </row>
    <row r="37" spans="1:1" x14ac:dyDescent="0.3">
      <c r="A37" s="2" t="s">
        <v>475</v>
      </c>
    </row>
    <row r="44" spans="1:1" x14ac:dyDescent="0.3">
      <c r="A44" s="4" t="s">
        <v>96</v>
      </c>
    </row>
    <row r="45" spans="1:1" x14ac:dyDescent="0.3">
      <c r="A45" t="s">
        <v>97</v>
      </c>
    </row>
    <row r="46" spans="1:1" x14ac:dyDescent="0.3">
      <c r="A46" t="s">
        <v>98</v>
      </c>
    </row>
    <row r="51" spans="1:8" x14ac:dyDescent="0.3">
      <c r="D51" t="b">
        <v>0</v>
      </c>
      <c r="E51" t="b">
        <f>NOT(D51)</f>
        <v>1</v>
      </c>
    </row>
    <row r="52" spans="1:8" x14ac:dyDescent="0.3">
      <c r="A52" s="4" t="s">
        <v>165</v>
      </c>
      <c r="D52" t="s">
        <v>179</v>
      </c>
      <c r="E52" t="s">
        <v>178</v>
      </c>
    </row>
    <row r="53" spans="1:8" x14ac:dyDescent="0.3">
      <c r="A53" t="str">
        <f>C53&amp;" (" &amp; IF($D$51,D53,E53) &amp; ")"</f>
        <v>High (1700)</v>
      </c>
      <c r="C53" t="s">
        <v>180</v>
      </c>
      <c r="D53">
        <v>3200</v>
      </c>
      <c r="E53">
        <v>1700</v>
      </c>
      <c r="F53">
        <v>4</v>
      </c>
      <c r="G53" t="b">
        <f t="shared" ref="G53:G58" si="0">IF(LEFT(Input_TrafficSignal_PedActivity,F53)=C53,TRUE, FALSE)</f>
        <v>0</v>
      </c>
      <c r="H53" t="b">
        <f t="shared" ref="H53:H58" si="1">IF(LEFT(Input_TrafficSignal2_PedActivity,F53)=C53,TRUE, FALSE)</f>
        <v>0</v>
      </c>
    </row>
    <row r="54" spans="1:8" x14ac:dyDescent="0.3">
      <c r="A54" t="str">
        <f t="shared" ref="A54:A57" si="2">C54&amp;" (" &amp; IF($D$51,D54,E54) &amp; ")"</f>
        <v>Med High (750)</v>
      </c>
      <c r="C54" t="s">
        <v>183</v>
      </c>
      <c r="D54">
        <v>1500</v>
      </c>
      <c r="E54">
        <v>750</v>
      </c>
      <c r="F54">
        <v>8</v>
      </c>
      <c r="G54" t="b">
        <f t="shared" si="0"/>
        <v>0</v>
      </c>
      <c r="H54" t="b">
        <f t="shared" si="1"/>
        <v>0</v>
      </c>
    </row>
    <row r="55" spans="1:8" x14ac:dyDescent="0.3">
      <c r="A55" t="str">
        <f t="shared" si="2"/>
        <v>Medium (400)</v>
      </c>
      <c r="C55" t="s">
        <v>181</v>
      </c>
      <c r="D55">
        <v>700</v>
      </c>
      <c r="E55">
        <v>400</v>
      </c>
      <c r="F55">
        <v>6</v>
      </c>
      <c r="G55" t="b">
        <f t="shared" si="0"/>
        <v>0</v>
      </c>
      <c r="H55" t="b">
        <f t="shared" si="1"/>
        <v>0</v>
      </c>
    </row>
    <row r="56" spans="1:8" x14ac:dyDescent="0.3">
      <c r="A56" t="str">
        <f t="shared" si="2"/>
        <v>Med Low (120)</v>
      </c>
      <c r="C56" t="s">
        <v>184</v>
      </c>
      <c r="D56">
        <v>240</v>
      </c>
      <c r="E56">
        <v>120</v>
      </c>
      <c r="F56">
        <v>7</v>
      </c>
      <c r="G56" t="b">
        <f t="shared" si="0"/>
        <v>0</v>
      </c>
      <c r="H56" t="b">
        <f t="shared" si="1"/>
        <v>0</v>
      </c>
    </row>
    <row r="57" spans="1:8" x14ac:dyDescent="0.3">
      <c r="A57" t="str">
        <f t="shared" si="2"/>
        <v>Low (20)</v>
      </c>
      <c r="C57" t="s">
        <v>182</v>
      </c>
      <c r="D57">
        <v>50</v>
      </c>
      <c r="E57">
        <v>20</v>
      </c>
      <c r="F57">
        <v>3</v>
      </c>
      <c r="G57" t="b">
        <f t="shared" si="0"/>
        <v>1</v>
      </c>
      <c r="H57" t="b">
        <f t="shared" si="1"/>
        <v>1</v>
      </c>
    </row>
    <row r="58" spans="1:8" x14ac:dyDescent="0.3">
      <c r="A58" t="str">
        <f>C58</f>
        <v>Other - Enter Below</v>
      </c>
      <c r="C58" t="s">
        <v>166</v>
      </c>
      <c r="G58" t="b">
        <f t="shared" si="0"/>
        <v>0</v>
      </c>
      <c r="H58" t="b">
        <f t="shared" si="1"/>
        <v>0</v>
      </c>
    </row>
    <row r="62" spans="1:8" x14ac:dyDescent="0.3">
      <c r="A62" t="s">
        <v>173</v>
      </c>
    </row>
    <row r="63" spans="1:8" x14ac:dyDescent="0.3">
      <c r="A63" t="s">
        <v>174</v>
      </c>
    </row>
    <row r="64" spans="1:8" x14ac:dyDescent="0.3">
      <c r="A64" t="s">
        <v>175</v>
      </c>
    </row>
    <row r="65" spans="1:1" x14ac:dyDescent="0.3">
      <c r="A65" t="s">
        <v>176</v>
      </c>
    </row>
    <row r="66" spans="1:1" x14ac:dyDescent="0.3">
      <c r="A66" t="s">
        <v>177</v>
      </c>
    </row>
    <row r="67" spans="1:1" x14ac:dyDescent="0.3">
      <c r="A67" t="s">
        <v>166</v>
      </c>
    </row>
    <row r="78" spans="1:1" x14ac:dyDescent="0.3">
      <c r="A78" s="62" t="s">
        <v>212</v>
      </c>
    </row>
    <row r="79" spans="1:1" x14ac:dyDescent="0.3">
      <c r="A79" t="s">
        <v>298</v>
      </c>
    </row>
    <row r="80" spans="1:1" x14ac:dyDescent="0.3">
      <c r="A80" t="s">
        <v>384</v>
      </c>
    </row>
    <row r="82" spans="1:1" x14ac:dyDescent="0.3">
      <c r="A82" s="62" t="s">
        <v>262</v>
      </c>
    </row>
    <row r="83" spans="1:1" x14ac:dyDescent="0.3">
      <c r="A83">
        <v>1</v>
      </c>
    </row>
    <row r="84" spans="1:1" x14ac:dyDescent="0.3">
      <c r="A84">
        <v>2</v>
      </c>
    </row>
    <row r="85" spans="1:1" x14ac:dyDescent="0.3">
      <c r="A85">
        <v>3</v>
      </c>
    </row>
    <row r="86" spans="1:1" x14ac:dyDescent="0.3">
      <c r="A86">
        <v>4</v>
      </c>
    </row>
    <row r="88" spans="1:1" x14ac:dyDescent="0.3">
      <c r="A88" s="62" t="s">
        <v>357</v>
      </c>
    </row>
    <row r="89" spans="1:1" x14ac:dyDescent="0.3">
      <c r="A89" s="89">
        <v>0</v>
      </c>
    </row>
    <row r="90" spans="1:1" x14ac:dyDescent="0.3">
      <c r="A90" s="89">
        <v>1</v>
      </c>
    </row>
    <row r="91" spans="1:1" x14ac:dyDescent="0.3">
      <c r="A91" s="89">
        <v>2</v>
      </c>
    </row>
    <row r="92" spans="1:1" x14ac:dyDescent="0.3">
      <c r="A92" s="89">
        <v>3</v>
      </c>
    </row>
    <row r="93" spans="1:1" x14ac:dyDescent="0.3">
      <c r="A93" s="3">
        <v>4</v>
      </c>
    </row>
  </sheetData>
  <sheetProtection algorithmName="SHA-512" hashValue="FWF3vCyTeWDJK+jp/4oJYuDBBfzIUrP3zDHxi8EfdSJDnxqHjDA3AMbb4v8Lpe0PlbCF0LMveR5QAfBmmKmnEw==" saltValue="wBsxqKdAam26LMW1Lysowg==" spinCount="100000" sheet="1" objects="1" scenarios="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4"/>
  <dimension ref="A1:K43"/>
  <sheetViews>
    <sheetView topLeftCell="A16" zoomScale="70" zoomScaleNormal="70" workbookViewId="0">
      <selection activeCell="H6" sqref="H6:H25"/>
    </sheetView>
  </sheetViews>
  <sheetFormatPr defaultRowHeight="14.4" x14ac:dyDescent="0.3"/>
  <cols>
    <col min="1" max="1" width="17.109375" customWidth="1"/>
    <col min="2" max="2" width="34.6640625" customWidth="1"/>
    <col min="3" max="3" width="8.6640625" customWidth="1"/>
    <col min="4" max="4" width="6.6640625" customWidth="1"/>
    <col min="5" max="5" width="10.109375" customWidth="1"/>
    <col min="6" max="7" width="11.6640625" customWidth="1"/>
  </cols>
  <sheetData>
    <row r="1" spans="1:11" x14ac:dyDescent="0.3">
      <c r="A1" s="842" t="s">
        <v>265</v>
      </c>
      <c r="B1" s="842"/>
      <c r="C1" s="842"/>
      <c r="D1" s="842"/>
      <c r="E1" s="842"/>
      <c r="F1" s="842"/>
      <c r="G1" s="842"/>
      <c r="H1" s="842"/>
      <c r="I1" s="842"/>
      <c r="J1" s="842"/>
      <c r="K1" s="842"/>
    </row>
    <row r="2" spans="1:11" x14ac:dyDescent="0.3">
      <c r="A2" s="843" t="s">
        <v>113</v>
      </c>
      <c r="B2" s="844"/>
      <c r="C2" s="844"/>
      <c r="D2" s="844"/>
      <c r="E2" s="844"/>
      <c r="F2" s="844"/>
      <c r="G2" s="844"/>
      <c r="H2" s="844"/>
      <c r="I2" s="844"/>
      <c r="J2" s="844"/>
      <c r="K2" s="844"/>
    </row>
    <row r="3" spans="1:11" ht="14.4" customHeight="1" x14ac:dyDescent="0.3">
      <c r="A3" s="846" t="s">
        <v>266</v>
      </c>
      <c r="B3" s="847"/>
      <c r="C3" s="848" t="s">
        <v>264</v>
      </c>
      <c r="D3" s="849"/>
      <c r="E3" s="850"/>
      <c r="F3" s="50"/>
      <c r="G3" s="50"/>
      <c r="H3" s="50"/>
      <c r="I3" s="50"/>
    </row>
    <row r="4" spans="1:11" x14ac:dyDescent="0.3">
      <c r="A4" s="845" t="s">
        <v>102</v>
      </c>
      <c r="B4" s="845" t="s">
        <v>36</v>
      </c>
      <c r="C4" s="845" t="s">
        <v>37</v>
      </c>
      <c r="D4" s="845" t="s">
        <v>38</v>
      </c>
      <c r="E4" s="845" t="s">
        <v>39</v>
      </c>
      <c r="F4" s="845" t="s">
        <v>172</v>
      </c>
      <c r="G4" s="845" t="s">
        <v>264</v>
      </c>
      <c r="H4" s="845" t="s">
        <v>263</v>
      </c>
      <c r="I4" s="845" t="s">
        <v>267</v>
      </c>
      <c r="J4" s="845" t="s">
        <v>268</v>
      </c>
      <c r="K4" s="845" t="s">
        <v>300</v>
      </c>
    </row>
    <row r="5" spans="1:11" x14ac:dyDescent="0.3">
      <c r="A5" s="845"/>
      <c r="B5" s="845"/>
      <c r="C5" s="845"/>
      <c r="D5" s="845"/>
      <c r="E5" s="845"/>
      <c r="F5" s="845"/>
      <c r="G5" s="845"/>
      <c r="H5" s="845"/>
      <c r="I5" s="845"/>
      <c r="J5" s="845"/>
      <c r="K5" s="845"/>
    </row>
    <row r="6" spans="1:11" x14ac:dyDescent="0.3">
      <c r="A6" s="851" t="s">
        <v>196</v>
      </c>
      <c r="B6" s="725" t="s">
        <v>44</v>
      </c>
      <c r="C6" s="17" t="s">
        <v>45</v>
      </c>
      <c r="D6" s="17" t="s">
        <v>46</v>
      </c>
      <c r="E6" s="17" t="s">
        <v>46</v>
      </c>
      <c r="F6" s="51">
        <f>IF(ISNUMBER(IF($C$3=$G$4,G6,IF($C$3=$H$4,H6,IF($C$3=$I$4,I6,IF($C$3=$J$4,J6,IF($C$3=$K$4,K6,1)))))),IF($C$3=$G$4,G6,IF($C$3=$H$4,H6,IF($C$3=$I$4,I6,IF($C$3=$J$4,J6,IF($C$3=$K$4,K6,1))))),1)</f>
        <v>1</v>
      </c>
      <c r="G6" s="33">
        <v>1</v>
      </c>
      <c r="H6" s="49" t="s">
        <v>209</v>
      </c>
      <c r="I6" s="33">
        <v>1</v>
      </c>
      <c r="J6" s="33">
        <v>1</v>
      </c>
      <c r="K6" s="33">
        <v>1</v>
      </c>
    </row>
    <row r="7" spans="1:11" x14ac:dyDescent="0.3">
      <c r="A7" s="852"/>
      <c r="B7" s="726"/>
      <c r="C7" s="17" t="s">
        <v>47</v>
      </c>
      <c r="D7" s="17" t="s">
        <v>46</v>
      </c>
      <c r="E7" s="17" t="s">
        <v>46</v>
      </c>
      <c r="F7" s="51">
        <f t="shared" ref="F7:F43" si="0">IF(ISNUMBER(IF($C$3=$G$4,G7,IF($C$3=$H$4,H7,IF($C$3=$I$4,I7,IF($C$3=$J$4,J7,IF($C$3=$K$4,K7,1)))))),IF($C$3=$G$4,G7,IF($C$3=$H$4,H7,IF($C$3=$I$4,I7,IF($C$3=$J$4,J7,IF($C$3=$K$4,K7,1))))),1)</f>
        <v>1</v>
      </c>
      <c r="G7" s="33">
        <v>1</v>
      </c>
      <c r="H7" s="33">
        <v>0.92</v>
      </c>
      <c r="I7" s="33">
        <v>1</v>
      </c>
      <c r="J7" s="33">
        <v>1</v>
      </c>
      <c r="K7" s="33">
        <v>1</v>
      </c>
    </row>
    <row r="8" spans="1:11" x14ac:dyDescent="0.3">
      <c r="A8" s="852"/>
      <c r="B8" s="725" t="s">
        <v>48</v>
      </c>
      <c r="C8" s="17" t="s">
        <v>45</v>
      </c>
      <c r="D8" s="17" t="s">
        <v>46</v>
      </c>
      <c r="E8" s="17" t="s">
        <v>46</v>
      </c>
      <c r="F8" s="51">
        <f t="shared" si="0"/>
        <v>1</v>
      </c>
      <c r="G8" s="33">
        <v>1</v>
      </c>
      <c r="H8" s="49" t="s">
        <v>209</v>
      </c>
      <c r="I8" s="33">
        <v>1</v>
      </c>
      <c r="J8" s="33">
        <v>1</v>
      </c>
      <c r="K8" s="33">
        <v>1</v>
      </c>
    </row>
    <row r="9" spans="1:11" x14ac:dyDescent="0.3">
      <c r="A9" s="852"/>
      <c r="B9" s="726"/>
      <c r="C9" s="17" t="s">
        <v>47</v>
      </c>
      <c r="D9" s="17" t="s">
        <v>46</v>
      </c>
      <c r="E9" s="17" t="s">
        <v>46</v>
      </c>
      <c r="F9" s="51">
        <f t="shared" si="0"/>
        <v>1</v>
      </c>
      <c r="G9" s="33">
        <v>1</v>
      </c>
      <c r="H9" s="33">
        <v>0.45</v>
      </c>
      <c r="I9" s="33">
        <v>1</v>
      </c>
      <c r="J9" s="33">
        <v>1</v>
      </c>
      <c r="K9" s="33">
        <v>1</v>
      </c>
    </row>
    <row r="10" spans="1:11" x14ac:dyDescent="0.3">
      <c r="A10" s="852"/>
      <c r="B10" s="725" t="s">
        <v>49</v>
      </c>
      <c r="C10" s="17" t="s">
        <v>45</v>
      </c>
      <c r="D10" s="17" t="s">
        <v>50</v>
      </c>
      <c r="E10" s="17" t="s">
        <v>51</v>
      </c>
      <c r="F10" s="51">
        <f t="shared" si="0"/>
        <v>1</v>
      </c>
      <c r="G10" s="33">
        <v>1</v>
      </c>
      <c r="H10" s="33">
        <v>2.5</v>
      </c>
      <c r="I10" s="33">
        <v>1</v>
      </c>
      <c r="J10" s="33">
        <v>1</v>
      </c>
      <c r="K10" s="33">
        <v>1</v>
      </c>
    </row>
    <row r="11" spans="1:11" x14ac:dyDescent="0.3">
      <c r="A11" s="852"/>
      <c r="B11" s="726"/>
      <c r="C11" s="17" t="s">
        <v>47</v>
      </c>
      <c r="D11" s="17" t="s">
        <v>50</v>
      </c>
      <c r="E11" s="17" t="s">
        <v>51</v>
      </c>
      <c r="F11" s="51">
        <f t="shared" si="0"/>
        <v>1</v>
      </c>
      <c r="G11" s="33">
        <v>1</v>
      </c>
      <c r="H11" s="33">
        <v>2.27</v>
      </c>
      <c r="I11" s="33">
        <v>1</v>
      </c>
      <c r="J11" s="33">
        <v>1</v>
      </c>
      <c r="K11" s="33">
        <v>1</v>
      </c>
    </row>
    <row r="12" spans="1:11" x14ac:dyDescent="0.3">
      <c r="A12" s="852"/>
      <c r="B12" s="726"/>
      <c r="C12" s="18" t="s">
        <v>45</v>
      </c>
      <c r="D12" s="18" t="s">
        <v>50</v>
      </c>
      <c r="E12" s="18" t="s">
        <v>52</v>
      </c>
      <c r="F12" s="51">
        <f t="shared" si="0"/>
        <v>1</v>
      </c>
      <c r="G12" s="33">
        <v>1</v>
      </c>
      <c r="H12" s="49" t="s">
        <v>209</v>
      </c>
      <c r="I12" s="33">
        <v>1</v>
      </c>
      <c r="J12" s="33">
        <v>1</v>
      </c>
      <c r="K12" s="33">
        <v>1</v>
      </c>
    </row>
    <row r="13" spans="1:11" x14ac:dyDescent="0.3">
      <c r="A13" s="852"/>
      <c r="B13" s="726"/>
      <c r="C13" s="18" t="s">
        <v>47</v>
      </c>
      <c r="D13" s="18" t="s">
        <v>50</v>
      </c>
      <c r="E13" s="18" t="s">
        <v>52</v>
      </c>
      <c r="F13" s="51">
        <f t="shared" si="0"/>
        <v>1</v>
      </c>
      <c r="G13" s="33">
        <v>1</v>
      </c>
      <c r="H13" s="49" t="s">
        <v>209</v>
      </c>
      <c r="I13" s="33">
        <v>1</v>
      </c>
      <c r="J13" s="33">
        <v>1</v>
      </c>
      <c r="K13" s="33">
        <v>1</v>
      </c>
    </row>
    <row r="14" spans="1:11" x14ac:dyDescent="0.3">
      <c r="A14" s="852"/>
      <c r="B14" s="726"/>
      <c r="C14" s="18" t="s">
        <v>45</v>
      </c>
      <c r="D14" s="18" t="s">
        <v>53</v>
      </c>
      <c r="E14" s="18" t="s">
        <v>46</v>
      </c>
      <c r="F14" s="51">
        <f t="shared" si="0"/>
        <v>1</v>
      </c>
      <c r="G14" s="33">
        <v>1</v>
      </c>
      <c r="H14" s="49" t="s">
        <v>209</v>
      </c>
      <c r="I14" s="33">
        <v>1</v>
      </c>
      <c r="J14" s="33">
        <v>1</v>
      </c>
      <c r="K14" s="33">
        <v>1</v>
      </c>
    </row>
    <row r="15" spans="1:11" x14ac:dyDescent="0.3">
      <c r="A15" s="852"/>
      <c r="B15" s="726"/>
      <c r="C15" s="18" t="s">
        <v>47</v>
      </c>
      <c r="D15" s="18" t="s">
        <v>53</v>
      </c>
      <c r="E15" s="18" t="s">
        <v>46</v>
      </c>
      <c r="F15" s="51">
        <f t="shared" si="0"/>
        <v>1</v>
      </c>
      <c r="G15" s="33">
        <v>1</v>
      </c>
      <c r="H15" s="49" t="s">
        <v>209</v>
      </c>
      <c r="I15" s="33">
        <v>1</v>
      </c>
      <c r="J15" s="33">
        <v>1</v>
      </c>
      <c r="K15" s="33">
        <v>1</v>
      </c>
    </row>
    <row r="16" spans="1:11" x14ac:dyDescent="0.3">
      <c r="A16" s="852"/>
      <c r="B16" s="726"/>
      <c r="C16" s="18" t="s">
        <v>45</v>
      </c>
      <c r="D16" s="18" t="s">
        <v>54</v>
      </c>
      <c r="E16" s="18" t="s">
        <v>46</v>
      </c>
      <c r="F16" s="51">
        <f t="shared" si="0"/>
        <v>1</v>
      </c>
      <c r="G16" s="33">
        <v>1</v>
      </c>
      <c r="H16" s="49" t="s">
        <v>209</v>
      </c>
      <c r="I16" s="33">
        <v>1</v>
      </c>
      <c r="J16" s="33">
        <v>1</v>
      </c>
      <c r="K16" s="33">
        <v>1</v>
      </c>
    </row>
    <row r="17" spans="1:11" x14ac:dyDescent="0.3">
      <c r="A17" s="852"/>
      <c r="B17" s="726"/>
      <c r="C17" s="18" t="s">
        <v>47</v>
      </c>
      <c r="D17" s="18" t="s">
        <v>54</v>
      </c>
      <c r="E17" s="18" t="s">
        <v>46</v>
      </c>
      <c r="F17" s="51">
        <f t="shared" si="0"/>
        <v>1</v>
      </c>
      <c r="G17" s="33">
        <v>1</v>
      </c>
      <c r="H17" s="49" t="s">
        <v>209</v>
      </c>
      <c r="I17" s="33">
        <v>1</v>
      </c>
      <c r="J17" s="33">
        <v>1</v>
      </c>
      <c r="K17" s="33">
        <v>1</v>
      </c>
    </row>
    <row r="18" spans="1:11" x14ac:dyDescent="0.3">
      <c r="A18" s="852"/>
      <c r="B18" s="727" t="s">
        <v>55</v>
      </c>
      <c r="C18" s="17" t="s">
        <v>45</v>
      </c>
      <c r="D18" s="17" t="s">
        <v>46</v>
      </c>
      <c r="E18" s="17" t="s">
        <v>46</v>
      </c>
      <c r="F18" s="51">
        <f t="shared" si="0"/>
        <v>1</v>
      </c>
      <c r="G18" s="33">
        <v>1</v>
      </c>
      <c r="H18" s="49" t="s">
        <v>209</v>
      </c>
      <c r="I18" s="33">
        <v>1</v>
      </c>
      <c r="J18" s="33">
        <v>1</v>
      </c>
      <c r="K18" s="33">
        <v>1</v>
      </c>
    </row>
    <row r="19" spans="1:11" x14ac:dyDescent="0.3">
      <c r="A19" s="853"/>
      <c r="B19" s="728"/>
      <c r="C19" s="17" t="s">
        <v>47</v>
      </c>
      <c r="D19" s="17" t="s">
        <v>46</v>
      </c>
      <c r="E19" s="17" t="s">
        <v>46</v>
      </c>
      <c r="F19" s="51">
        <f t="shared" si="0"/>
        <v>1</v>
      </c>
      <c r="G19" s="33">
        <v>1</v>
      </c>
      <c r="H19" s="49" t="s">
        <v>209</v>
      </c>
      <c r="I19" s="33">
        <v>1</v>
      </c>
      <c r="J19" s="33">
        <v>1</v>
      </c>
      <c r="K19" s="33">
        <v>1</v>
      </c>
    </row>
    <row r="20" spans="1:11" x14ac:dyDescent="0.3">
      <c r="A20" s="725" t="s">
        <v>56</v>
      </c>
      <c r="B20" s="725" t="s">
        <v>44</v>
      </c>
      <c r="C20" s="17" t="s">
        <v>45</v>
      </c>
      <c r="D20" s="17" t="s">
        <v>46</v>
      </c>
      <c r="E20" s="17" t="s">
        <v>46</v>
      </c>
      <c r="F20" s="51">
        <f t="shared" si="0"/>
        <v>1</v>
      </c>
      <c r="G20" s="33">
        <v>1</v>
      </c>
      <c r="H20" s="33">
        <v>1.27</v>
      </c>
      <c r="I20" s="33">
        <v>1</v>
      </c>
      <c r="J20" s="33">
        <v>1</v>
      </c>
      <c r="K20" s="33">
        <v>1</v>
      </c>
    </row>
    <row r="21" spans="1:11" x14ac:dyDescent="0.3">
      <c r="A21" s="726"/>
      <c r="B21" s="726"/>
      <c r="C21" s="17" t="s">
        <v>47</v>
      </c>
      <c r="D21" s="17" t="s">
        <v>46</v>
      </c>
      <c r="E21" s="17" t="s">
        <v>46</v>
      </c>
      <c r="F21" s="51">
        <f t="shared" si="0"/>
        <v>1</v>
      </c>
      <c r="G21" s="33">
        <v>1</v>
      </c>
      <c r="H21" s="33">
        <v>0.74</v>
      </c>
      <c r="I21" s="33">
        <v>1</v>
      </c>
      <c r="J21" s="33">
        <v>1</v>
      </c>
      <c r="K21" s="33">
        <v>1</v>
      </c>
    </row>
    <row r="22" spans="1:11" x14ac:dyDescent="0.3">
      <c r="A22" s="726"/>
      <c r="B22" s="725" t="s">
        <v>48</v>
      </c>
      <c r="C22" s="17" t="s">
        <v>45</v>
      </c>
      <c r="D22" s="17" t="s">
        <v>46</v>
      </c>
      <c r="E22" s="17" t="s">
        <v>46</v>
      </c>
      <c r="F22" s="51">
        <f t="shared" si="0"/>
        <v>1</v>
      </c>
      <c r="G22" s="33">
        <v>1</v>
      </c>
      <c r="H22" s="33">
        <v>2.2000000000000002</v>
      </c>
      <c r="I22" s="33">
        <v>1</v>
      </c>
      <c r="J22" s="33">
        <v>1</v>
      </c>
      <c r="K22" s="33">
        <v>1</v>
      </c>
    </row>
    <row r="23" spans="1:11" x14ac:dyDescent="0.3">
      <c r="A23" s="726"/>
      <c r="B23" s="729"/>
      <c r="C23" s="17" t="s">
        <v>47</v>
      </c>
      <c r="D23" s="17" t="s">
        <v>46</v>
      </c>
      <c r="E23" s="17" t="s">
        <v>46</v>
      </c>
      <c r="F23" s="51">
        <f t="shared" si="0"/>
        <v>1</v>
      </c>
      <c r="G23" s="33">
        <v>1</v>
      </c>
      <c r="H23" s="33">
        <v>1.64</v>
      </c>
      <c r="I23" s="33">
        <v>1</v>
      </c>
      <c r="J23" s="33">
        <v>1</v>
      </c>
      <c r="K23" s="33">
        <v>1</v>
      </c>
    </row>
    <row r="24" spans="1:11" x14ac:dyDescent="0.3">
      <c r="A24" s="726"/>
      <c r="B24" s="725" t="s">
        <v>49</v>
      </c>
      <c r="C24" s="17" t="s">
        <v>45</v>
      </c>
      <c r="D24" s="17" t="s">
        <v>50</v>
      </c>
      <c r="E24" s="17" t="s">
        <v>51</v>
      </c>
      <c r="F24" s="51">
        <f t="shared" si="0"/>
        <v>1</v>
      </c>
      <c r="G24" s="33">
        <v>1</v>
      </c>
      <c r="H24" s="33">
        <v>1.1399999999999999</v>
      </c>
      <c r="I24" s="33">
        <v>1</v>
      </c>
      <c r="J24" s="33">
        <v>1</v>
      </c>
      <c r="K24" s="33">
        <v>1</v>
      </c>
    </row>
    <row r="25" spans="1:11" x14ac:dyDescent="0.3">
      <c r="A25" s="726"/>
      <c r="B25" s="726"/>
      <c r="C25" s="17" t="s">
        <v>47</v>
      </c>
      <c r="D25" s="17" t="s">
        <v>50</v>
      </c>
      <c r="E25" s="17" t="s">
        <v>51</v>
      </c>
      <c r="F25" s="51">
        <f t="shared" si="0"/>
        <v>1</v>
      </c>
      <c r="G25" s="33">
        <v>1</v>
      </c>
      <c r="H25" s="33">
        <v>1.87</v>
      </c>
      <c r="I25" s="33">
        <v>1</v>
      </c>
      <c r="J25" s="33">
        <v>1</v>
      </c>
      <c r="K25" s="33">
        <v>1</v>
      </c>
    </row>
    <row r="26" spans="1:11" x14ac:dyDescent="0.3">
      <c r="A26" s="726"/>
      <c r="B26" s="726"/>
      <c r="C26" s="18" t="s">
        <v>45</v>
      </c>
      <c r="D26" s="18" t="s">
        <v>50</v>
      </c>
      <c r="E26" s="18" t="s">
        <v>52</v>
      </c>
      <c r="F26" s="51">
        <f t="shared" si="0"/>
        <v>1</v>
      </c>
      <c r="G26" s="33">
        <v>1</v>
      </c>
      <c r="H26" s="49" t="s">
        <v>209</v>
      </c>
      <c r="I26" s="33">
        <v>1</v>
      </c>
      <c r="J26" s="33">
        <v>1</v>
      </c>
      <c r="K26" s="33">
        <v>1</v>
      </c>
    </row>
    <row r="27" spans="1:11" x14ac:dyDescent="0.3">
      <c r="A27" s="726"/>
      <c r="B27" s="726"/>
      <c r="C27" s="18" t="s">
        <v>47</v>
      </c>
      <c r="D27" s="18" t="s">
        <v>50</v>
      </c>
      <c r="E27" s="18" t="s">
        <v>52</v>
      </c>
      <c r="F27" s="51">
        <f t="shared" si="0"/>
        <v>1</v>
      </c>
      <c r="G27" s="33">
        <v>1</v>
      </c>
      <c r="H27" s="49" t="s">
        <v>209</v>
      </c>
      <c r="I27" s="33">
        <v>1</v>
      </c>
      <c r="J27" s="33">
        <v>1</v>
      </c>
      <c r="K27" s="33">
        <v>1</v>
      </c>
    </row>
    <row r="28" spans="1:11" x14ac:dyDescent="0.3">
      <c r="A28" s="726"/>
      <c r="B28" s="726"/>
      <c r="C28" s="18" t="s">
        <v>45</v>
      </c>
      <c r="D28" s="18" t="s">
        <v>53</v>
      </c>
      <c r="E28" s="18" t="s">
        <v>46</v>
      </c>
      <c r="F28" s="51">
        <f t="shared" si="0"/>
        <v>1</v>
      </c>
      <c r="G28" s="33">
        <v>1</v>
      </c>
      <c r="H28" s="49" t="s">
        <v>209</v>
      </c>
      <c r="I28" s="33">
        <v>1</v>
      </c>
      <c r="J28" s="33">
        <v>1</v>
      </c>
      <c r="K28" s="33">
        <v>1</v>
      </c>
    </row>
    <row r="29" spans="1:11" x14ac:dyDescent="0.3">
      <c r="A29" s="726"/>
      <c r="B29" s="726"/>
      <c r="C29" s="18" t="s">
        <v>47</v>
      </c>
      <c r="D29" s="18" t="s">
        <v>53</v>
      </c>
      <c r="E29" s="18" t="s">
        <v>46</v>
      </c>
      <c r="F29" s="51">
        <f t="shared" si="0"/>
        <v>1</v>
      </c>
      <c r="G29" s="33">
        <v>1</v>
      </c>
      <c r="H29" s="49" t="s">
        <v>209</v>
      </c>
      <c r="I29" s="33">
        <v>1</v>
      </c>
      <c r="J29" s="33">
        <v>1</v>
      </c>
      <c r="K29" s="33">
        <v>1</v>
      </c>
    </row>
    <row r="30" spans="1:11" x14ac:dyDescent="0.3">
      <c r="A30" s="726"/>
      <c r="B30" s="726"/>
      <c r="C30" s="18" t="s">
        <v>45</v>
      </c>
      <c r="D30" s="18" t="s">
        <v>54</v>
      </c>
      <c r="E30" s="18" t="s">
        <v>46</v>
      </c>
      <c r="F30" s="51">
        <f t="shared" si="0"/>
        <v>1</v>
      </c>
      <c r="G30" s="33">
        <v>1</v>
      </c>
      <c r="H30" s="49" t="s">
        <v>209</v>
      </c>
      <c r="I30" s="33">
        <v>1</v>
      </c>
      <c r="J30" s="33">
        <v>1</v>
      </c>
      <c r="K30" s="33">
        <v>1</v>
      </c>
    </row>
    <row r="31" spans="1:11" x14ac:dyDescent="0.3">
      <c r="A31" s="726"/>
      <c r="B31" s="729"/>
      <c r="C31" s="18" t="s">
        <v>47</v>
      </c>
      <c r="D31" s="18" t="s">
        <v>54</v>
      </c>
      <c r="E31" s="18" t="s">
        <v>46</v>
      </c>
      <c r="F31" s="51">
        <f t="shared" si="0"/>
        <v>1</v>
      </c>
      <c r="G31" s="33">
        <v>1</v>
      </c>
      <c r="H31" s="49" t="s">
        <v>209</v>
      </c>
      <c r="I31" s="33">
        <v>1</v>
      </c>
      <c r="J31" s="33">
        <v>1</v>
      </c>
      <c r="K31" s="33">
        <v>1</v>
      </c>
    </row>
    <row r="32" spans="1:11" x14ac:dyDescent="0.3">
      <c r="A32" s="726"/>
      <c r="B32" s="727" t="s">
        <v>55</v>
      </c>
      <c r="C32" s="18" t="s">
        <v>45</v>
      </c>
      <c r="D32" s="18" t="s">
        <v>46</v>
      </c>
      <c r="E32" s="18" t="s">
        <v>46</v>
      </c>
      <c r="F32" s="51">
        <f t="shared" si="0"/>
        <v>1</v>
      </c>
      <c r="G32" s="33">
        <v>1</v>
      </c>
      <c r="H32" s="49" t="s">
        <v>209</v>
      </c>
      <c r="I32" s="33">
        <v>1</v>
      </c>
      <c r="J32" s="33">
        <v>1</v>
      </c>
      <c r="K32" s="33">
        <v>1</v>
      </c>
    </row>
    <row r="33" spans="1:11" x14ac:dyDescent="0.3">
      <c r="A33" s="729"/>
      <c r="B33" s="728"/>
      <c r="C33" s="18" t="s">
        <v>47</v>
      </c>
      <c r="D33" s="18" t="s">
        <v>46</v>
      </c>
      <c r="E33" s="18" t="s">
        <v>46</v>
      </c>
      <c r="F33" s="51">
        <f t="shared" si="0"/>
        <v>1</v>
      </c>
      <c r="G33" s="33">
        <v>1</v>
      </c>
      <c r="H33" s="49" t="s">
        <v>209</v>
      </c>
      <c r="I33" s="33">
        <v>1</v>
      </c>
      <c r="J33" s="33">
        <v>1</v>
      </c>
      <c r="K33" s="33">
        <v>1</v>
      </c>
    </row>
    <row r="34" spans="1:11" x14ac:dyDescent="0.3">
      <c r="A34" s="725" t="s">
        <v>57</v>
      </c>
      <c r="B34" s="725" t="s">
        <v>44</v>
      </c>
      <c r="C34" s="18" t="s">
        <v>45</v>
      </c>
      <c r="D34" s="18" t="s">
        <v>46</v>
      </c>
      <c r="E34" s="18" t="s">
        <v>46</v>
      </c>
      <c r="F34" s="51">
        <f t="shared" si="0"/>
        <v>1</v>
      </c>
      <c r="G34" s="33">
        <v>1</v>
      </c>
      <c r="H34" s="49" t="s">
        <v>209</v>
      </c>
      <c r="I34" s="33">
        <v>1</v>
      </c>
      <c r="J34" s="33">
        <v>1</v>
      </c>
      <c r="K34" s="33">
        <v>1</v>
      </c>
    </row>
    <row r="35" spans="1:11" x14ac:dyDescent="0.3">
      <c r="A35" s="726"/>
      <c r="B35" s="729"/>
      <c r="C35" s="18" t="s">
        <v>47</v>
      </c>
      <c r="D35" s="18" t="s">
        <v>46</v>
      </c>
      <c r="E35" s="18" t="s">
        <v>46</v>
      </c>
      <c r="F35" s="51">
        <f t="shared" si="0"/>
        <v>1</v>
      </c>
      <c r="G35" s="33">
        <v>1</v>
      </c>
      <c r="H35" s="49" t="s">
        <v>209</v>
      </c>
      <c r="I35" s="33">
        <v>1</v>
      </c>
      <c r="J35" s="33">
        <v>1</v>
      </c>
      <c r="K35" s="33">
        <v>1</v>
      </c>
    </row>
    <row r="36" spans="1:11" x14ac:dyDescent="0.3">
      <c r="A36" s="726"/>
      <c r="B36" s="725" t="s">
        <v>48</v>
      </c>
      <c r="C36" s="18" t="s">
        <v>45</v>
      </c>
      <c r="D36" s="18" t="s">
        <v>46</v>
      </c>
      <c r="E36" s="18" t="s">
        <v>46</v>
      </c>
      <c r="F36" s="51">
        <f t="shared" si="0"/>
        <v>1</v>
      </c>
      <c r="G36" s="33">
        <v>1</v>
      </c>
      <c r="H36" s="49" t="s">
        <v>209</v>
      </c>
      <c r="I36" s="33">
        <v>1</v>
      </c>
      <c r="J36" s="33">
        <v>1</v>
      </c>
      <c r="K36" s="33">
        <v>1</v>
      </c>
    </row>
    <row r="37" spans="1:11" x14ac:dyDescent="0.3">
      <c r="A37" s="726"/>
      <c r="B37" s="726"/>
      <c r="C37" s="18" t="s">
        <v>47</v>
      </c>
      <c r="D37" s="18" t="s">
        <v>46</v>
      </c>
      <c r="E37" s="18" t="s">
        <v>46</v>
      </c>
      <c r="F37" s="51">
        <f t="shared" si="0"/>
        <v>1</v>
      </c>
      <c r="G37" s="33">
        <v>1</v>
      </c>
      <c r="H37" s="49" t="s">
        <v>209</v>
      </c>
      <c r="I37" s="33">
        <v>1</v>
      </c>
      <c r="J37" s="33">
        <v>1</v>
      </c>
      <c r="K37" s="33">
        <v>1</v>
      </c>
    </row>
    <row r="38" spans="1:11" x14ac:dyDescent="0.3">
      <c r="A38" s="726"/>
      <c r="B38" s="725" t="s">
        <v>49</v>
      </c>
      <c r="C38" s="18" t="s">
        <v>45</v>
      </c>
      <c r="D38" s="18" t="s">
        <v>46</v>
      </c>
      <c r="E38" s="18" t="s">
        <v>46</v>
      </c>
      <c r="F38" s="51">
        <f t="shared" si="0"/>
        <v>1</v>
      </c>
      <c r="G38" s="33">
        <v>1</v>
      </c>
      <c r="H38" s="49" t="s">
        <v>209</v>
      </c>
      <c r="I38" s="33">
        <v>1</v>
      </c>
      <c r="J38" s="33">
        <v>1</v>
      </c>
      <c r="K38" s="33">
        <v>1</v>
      </c>
    </row>
    <row r="39" spans="1:11" x14ac:dyDescent="0.3">
      <c r="A39" s="729"/>
      <c r="B39" s="729"/>
      <c r="C39" s="18" t="s">
        <v>47</v>
      </c>
      <c r="D39" s="18" t="s">
        <v>46</v>
      </c>
      <c r="E39" s="18" t="s">
        <v>46</v>
      </c>
      <c r="F39" s="51">
        <f t="shared" si="0"/>
        <v>1</v>
      </c>
      <c r="G39" s="33">
        <v>1</v>
      </c>
      <c r="H39" s="49" t="s">
        <v>209</v>
      </c>
      <c r="I39" s="33">
        <v>1</v>
      </c>
      <c r="J39" s="33">
        <v>1</v>
      </c>
      <c r="K39" s="33">
        <v>1</v>
      </c>
    </row>
    <row r="40" spans="1:11" x14ac:dyDescent="0.3">
      <c r="A40" s="725" t="s">
        <v>30</v>
      </c>
      <c r="B40" s="725" t="s">
        <v>58</v>
      </c>
      <c r="C40" s="18" t="s">
        <v>45</v>
      </c>
      <c r="D40" s="18" t="s">
        <v>46</v>
      </c>
      <c r="E40" s="18" t="s">
        <v>46</v>
      </c>
      <c r="F40" s="51">
        <f t="shared" si="0"/>
        <v>1</v>
      </c>
      <c r="G40" s="33">
        <v>1</v>
      </c>
      <c r="H40" s="49" t="s">
        <v>209</v>
      </c>
      <c r="I40" s="33">
        <v>1</v>
      </c>
      <c r="J40" s="33">
        <v>1</v>
      </c>
      <c r="K40" s="33">
        <v>1</v>
      </c>
    </row>
    <row r="41" spans="1:11" x14ac:dyDescent="0.3">
      <c r="A41" s="726"/>
      <c r="B41" s="729"/>
      <c r="C41" s="18" t="s">
        <v>47</v>
      </c>
      <c r="D41" s="18" t="s">
        <v>46</v>
      </c>
      <c r="E41" s="18" t="s">
        <v>46</v>
      </c>
      <c r="F41" s="51">
        <f t="shared" si="0"/>
        <v>1</v>
      </c>
      <c r="G41" s="33">
        <v>1</v>
      </c>
      <c r="H41" s="49" t="s">
        <v>209</v>
      </c>
      <c r="I41" s="33">
        <v>1</v>
      </c>
      <c r="J41" s="33">
        <v>1</v>
      </c>
      <c r="K41" s="33">
        <v>1</v>
      </c>
    </row>
    <row r="42" spans="1:11" x14ac:dyDescent="0.3">
      <c r="A42" s="726"/>
      <c r="B42" s="725" t="s">
        <v>59</v>
      </c>
      <c r="C42" s="18" t="s">
        <v>45</v>
      </c>
      <c r="D42" s="18" t="s">
        <v>46</v>
      </c>
      <c r="E42" s="18" t="s">
        <v>46</v>
      </c>
      <c r="F42" s="51">
        <f t="shared" si="0"/>
        <v>1</v>
      </c>
      <c r="G42" s="33">
        <v>1</v>
      </c>
      <c r="H42" s="49" t="s">
        <v>209</v>
      </c>
      <c r="I42" s="33">
        <v>1</v>
      </c>
      <c r="J42" s="33">
        <v>1</v>
      </c>
      <c r="K42" s="33">
        <v>1</v>
      </c>
    </row>
    <row r="43" spans="1:11" x14ac:dyDescent="0.3">
      <c r="A43" s="729"/>
      <c r="B43" s="729"/>
      <c r="C43" s="18" t="s">
        <v>47</v>
      </c>
      <c r="D43" s="18" t="s">
        <v>46</v>
      </c>
      <c r="E43" s="18" t="s">
        <v>46</v>
      </c>
      <c r="F43" s="51">
        <f t="shared" si="0"/>
        <v>1</v>
      </c>
      <c r="G43" s="33">
        <v>1</v>
      </c>
      <c r="H43" s="49" t="s">
        <v>209</v>
      </c>
      <c r="I43" s="33">
        <v>1</v>
      </c>
      <c r="J43" s="33">
        <v>1</v>
      </c>
      <c r="K43" s="33">
        <v>1</v>
      </c>
    </row>
  </sheetData>
  <mergeCells count="32">
    <mergeCell ref="A20:A33"/>
    <mergeCell ref="B20:B21"/>
    <mergeCell ref="B22:B23"/>
    <mergeCell ref="B24:B31"/>
    <mergeCell ref="B32:B33"/>
    <mergeCell ref="A6:A19"/>
    <mergeCell ref="B6:B7"/>
    <mergeCell ref="B8:B9"/>
    <mergeCell ref="B10:B17"/>
    <mergeCell ref="B18:B19"/>
    <mergeCell ref="A34:A39"/>
    <mergeCell ref="B34:B35"/>
    <mergeCell ref="B36:B37"/>
    <mergeCell ref="B38:B39"/>
    <mergeCell ref="A40:A43"/>
    <mergeCell ref="B40:B41"/>
    <mergeCell ref="B42:B43"/>
    <mergeCell ref="A1:K1"/>
    <mergeCell ref="A2:K2"/>
    <mergeCell ref="H4:H5"/>
    <mergeCell ref="G4:G5"/>
    <mergeCell ref="I4:I5"/>
    <mergeCell ref="A3:B3"/>
    <mergeCell ref="C3:E3"/>
    <mergeCell ref="J4:J5"/>
    <mergeCell ref="K4:K5"/>
    <mergeCell ref="A4:A5"/>
    <mergeCell ref="B4:B5"/>
    <mergeCell ref="C4:C5"/>
    <mergeCell ref="D4:D5"/>
    <mergeCell ref="E4:E5"/>
    <mergeCell ref="F4:F5"/>
  </mergeCells>
  <conditionalFormatting sqref="G4:K43">
    <cfRule type="expression" dxfId="0" priority="1">
      <formula>IF($C$3=G$4,TRUE,FALSE)</formula>
    </cfRule>
  </conditionalFormatting>
  <dataValidations count="1">
    <dataValidation type="list" allowBlank="1" showInputMessage="1" showErrorMessage="1" sqref="C3:E3" xr:uid="{00000000-0002-0000-0E00-000000000000}">
      <formula1>$G$4:$K$4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480</vt:i4>
      </vt:variant>
    </vt:vector>
  </HeadingPairs>
  <TitlesOfParts>
    <vt:vector size="496" baseType="lpstr">
      <vt:lpstr>Introduction</vt:lpstr>
      <vt:lpstr>Disclaimer</vt:lpstr>
      <vt:lpstr>Project Information</vt:lpstr>
      <vt:lpstr>Definitions</vt:lpstr>
      <vt:lpstr>Control Strategy Selection</vt:lpstr>
      <vt:lpstr>At-Grade Inputs</vt:lpstr>
      <vt:lpstr>Ramp-Terminal Inputs</vt:lpstr>
      <vt:lpstr>RTI_Ranges</vt:lpstr>
      <vt:lpstr>ExistingData</vt:lpstr>
      <vt:lpstr>Calibration</vt:lpstr>
      <vt:lpstr>Results</vt:lpstr>
      <vt:lpstr>ResultsRTI</vt:lpstr>
      <vt:lpstr>Notes</vt:lpstr>
      <vt:lpstr>User Selections</vt:lpstr>
      <vt:lpstr>Labels</vt:lpstr>
      <vt:lpstr>CalibrationDefaults</vt:lpstr>
      <vt:lpstr>City</vt:lpstr>
      <vt:lpstr>Date</vt:lpstr>
      <vt:lpstr>FacilityType_Label_Rural2Ln</vt:lpstr>
      <vt:lpstr>FacilityType_Label_RuralMultiLn</vt:lpstr>
      <vt:lpstr>FacilityType_Label_Urban</vt:lpstr>
      <vt:lpstr>FacilityType_Label_UrbanHighSpeed</vt:lpstr>
      <vt:lpstr>Input_1Way2Way</vt:lpstr>
      <vt:lpstr>Input_AGI_HasSchool</vt:lpstr>
      <vt:lpstr>Input_AGI_Lighting</vt:lpstr>
      <vt:lpstr>Input_AGI_NumABC</vt:lpstr>
      <vt:lpstr>Input_AGI_NumBusStops</vt:lpstr>
      <vt:lpstr>Input_AGI_R1_AADT_L1</vt:lpstr>
      <vt:lpstr>Input_AGI_R1_AADT_L2</vt:lpstr>
      <vt:lpstr>Input_AGI_R1_AADT_L3</vt:lpstr>
      <vt:lpstr>Input_AGI_R1_AADT_L4</vt:lpstr>
      <vt:lpstr>Input_AGI_R1_Access_L1</vt:lpstr>
      <vt:lpstr>Input_AGI_R1_Access_L2</vt:lpstr>
      <vt:lpstr>Input_AGI_R1_Access_L3</vt:lpstr>
      <vt:lpstr>Input_AGI_R1_Access_L4</vt:lpstr>
      <vt:lpstr>Input_AGI_R1_Bypass_L1</vt:lpstr>
      <vt:lpstr>Input_AGI_R1_Bypass_L2</vt:lpstr>
      <vt:lpstr>Input_AGI_R1_Bypass_L3</vt:lpstr>
      <vt:lpstr>Input_AGI_R1_Bypass_L4</vt:lpstr>
      <vt:lpstr>Input_AGI_R1_CL_L1</vt:lpstr>
      <vt:lpstr>Input_AGI_R1_CL_L2</vt:lpstr>
      <vt:lpstr>Input_AGI_R1_CL_L3</vt:lpstr>
      <vt:lpstr>Input_AGI_R1_CL_L4</vt:lpstr>
      <vt:lpstr>Input_AGI_R1_EL_L1</vt:lpstr>
      <vt:lpstr>Input_AGI_R1_EL_L2</vt:lpstr>
      <vt:lpstr>Input_AGI_R1_EL_L3</vt:lpstr>
      <vt:lpstr>Input_AGI_R1_EL_L4</vt:lpstr>
      <vt:lpstr>Input_AGI_R1_EW_L1</vt:lpstr>
      <vt:lpstr>Input_AGI_R1_EW_L2</vt:lpstr>
      <vt:lpstr>Input_AGI_R1_EW_L3</vt:lpstr>
      <vt:lpstr>Input_AGI_R1_EW_L4</vt:lpstr>
      <vt:lpstr>Input_AGI_R1_ICD</vt:lpstr>
      <vt:lpstr>Input_AGI_R2_AADT_L1</vt:lpstr>
      <vt:lpstr>Input_AGI_R2_AADT_L2</vt:lpstr>
      <vt:lpstr>Input_AGI_R2_AADT_L3</vt:lpstr>
      <vt:lpstr>Input_AGI_R2_AADT_L4</vt:lpstr>
      <vt:lpstr>Input_AGI_R2_Access_L1</vt:lpstr>
      <vt:lpstr>Input_AGI_R2_Access_L2</vt:lpstr>
      <vt:lpstr>Input_AGI_R2_Access_L3</vt:lpstr>
      <vt:lpstr>Input_AGI_R2_Access_L4</vt:lpstr>
      <vt:lpstr>Input_AGI_R2_Bypass_L1</vt:lpstr>
      <vt:lpstr>Input_AGI_R2_Bypass_L2</vt:lpstr>
      <vt:lpstr>Input_AGI_R2_Bypass_L3</vt:lpstr>
      <vt:lpstr>Input_AGI_R2_Bypass_L4</vt:lpstr>
      <vt:lpstr>Input_AGI_R2_CL_L1</vt:lpstr>
      <vt:lpstr>Input_AGI_R2_CL_L2</vt:lpstr>
      <vt:lpstr>Input_AGI_R2_CL_L3</vt:lpstr>
      <vt:lpstr>Input_AGI_R2_CL_L4</vt:lpstr>
      <vt:lpstr>Input_AGI_R2_EL_L1</vt:lpstr>
      <vt:lpstr>Input_AGI_R2_EL_L2</vt:lpstr>
      <vt:lpstr>Input_AGI_R2_EL_L3</vt:lpstr>
      <vt:lpstr>Input_AGI_R2_EL_L4</vt:lpstr>
      <vt:lpstr>Input_AGI_R2_EW_L1</vt:lpstr>
      <vt:lpstr>Input_AGI_R2_EW_L2</vt:lpstr>
      <vt:lpstr>Input_AGI_R2_EW_L3</vt:lpstr>
      <vt:lpstr>Input_AGI_R2_EW_L4</vt:lpstr>
      <vt:lpstr>Input_AGI_R2_ICD</vt:lpstr>
      <vt:lpstr>Input_AGI_SkewAngle</vt:lpstr>
      <vt:lpstr>Input_AllStop_Lighting</vt:lpstr>
      <vt:lpstr>Input_AllStop_NumAppWithLTLns</vt:lpstr>
      <vt:lpstr>Input_AllStop_NumAppWithRTLns</vt:lpstr>
      <vt:lpstr>Input_AnalysisYearType</vt:lpstr>
      <vt:lpstr>Input_Base_DAADTMajor</vt:lpstr>
      <vt:lpstr>Input_Base_DAADTMinor</vt:lpstr>
      <vt:lpstr>Input_Base_OAADTMajor</vt:lpstr>
      <vt:lpstr>Input_Base_OAADTMinor</vt:lpstr>
      <vt:lpstr>Input_CMF_DDI_FI</vt:lpstr>
      <vt:lpstr>Input_CMF_DDI_Total</vt:lpstr>
      <vt:lpstr>Input_CMF_DLT_FI</vt:lpstr>
      <vt:lpstr>Input_CMF_DLT_Total</vt:lpstr>
      <vt:lpstr>Input_CMF_GreenT_FI</vt:lpstr>
      <vt:lpstr>Input_CMF_GreenT_Total</vt:lpstr>
      <vt:lpstr>Input_CMF_Jughandle_FI</vt:lpstr>
      <vt:lpstr>Input_CMF_Jughandle_Total</vt:lpstr>
      <vt:lpstr>Input_CMF_MUT_FI</vt:lpstr>
      <vt:lpstr>Input_CMF_MUT_Total</vt:lpstr>
      <vt:lpstr>Input_CMF_Other1_FI</vt:lpstr>
      <vt:lpstr>Input_CMF_Other1_Total</vt:lpstr>
      <vt:lpstr>Input_CMF_Other2_FI</vt:lpstr>
      <vt:lpstr>Input_CMF_Other2_Total</vt:lpstr>
      <vt:lpstr>Input_CMF_RCUTSig_FI</vt:lpstr>
      <vt:lpstr>Input_CMF_RCUTSig_Total</vt:lpstr>
      <vt:lpstr>Input_CMF_RCUTUnsig_FI</vt:lpstr>
      <vt:lpstr>Input_CMF_RCUTUnsig_Total</vt:lpstr>
      <vt:lpstr>Input_D4MS_DAADTEn1</vt:lpstr>
      <vt:lpstr>Input_D4MS_DAADTEn2</vt:lpstr>
      <vt:lpstr>Input_D4MS_DAADTEx1</vt:lpstr>
      <vt:lpstr>Input_D4MS_DAADTEx2</vt:lpstr>
      <vt:lpstr>Input_D4MS_DAADTIn1</vt:lpstr>
      <vt:lpstr>Input_D4MS_DAADTIn2</vt:lpstr>
      <vt:lpstr>Input_D4MS_DAADTOut1</vt:lpstr>
      <vt:lpstr>Input_D4MS_DAADTOut2</vt:lpstr>
      <vt:lpstr>Input_D4MS_ENLSR1</vt:lpstr>
      <vt:lpstr>Input_D4MS_ENLSR2</vt:lpstr>
      <vt:lpstr>Input_D4MS_ExitRTC1</vt:lpstr>
      <vt:lpstr>Input_D4MS_ExitRTC2</vt:lpstr>
      <vt:lpstr>Input_D4MS_lRMP1</vt:lpstr>
      <vt:lpstr>Input_D4MS_lRMP2</vt:lpstr>
      <vt:lpstr>Input_D4MS_lSTR1</vt:lpstr>
      <vt:lpstr>Input_D4MS_lSTR2</vt:lpstr>
      <vt:lpstr>Input_D4MS_LTBIn1</vt:lpstr>
      <vt:lpstr>Input_D4MS_LTBIn2</vt:lpstr>
      <vt:lpstr>Input_D4MS_LTBOut1</vt:lpstr>
      <vt:lpstr>Input_D4MS_LTBOut2</vt:lpstr>
      <vt:lpstr>Input_D4MS_LTWIn1</vt:lpstr>
      <vt:lpstr>Input_D4MS_LTWIn2</vt:lpstr>
      <vt:lpstr>Input_D4MS_LTWOut1</vt:lpstr>
      <vt:lpstr>Input_D4MS_LTWOut2</vt:lpstr>
      <vt:lpstr>Input_D4MS_MW1</vt:lpstr>
      <vt:lpstr>Input_D4MS_MW2</vt:lpstr>
      <vt:lpstr>Input_D4MS_NLxst1</vt:lpstr>
      <vt:lpstr>Input_D4MS_NLxst2</vt:lpstr>
      <vt:lpstr>Input_D4MS_NSCPS1</vt:lpstr>
      <vt:lpstr>Input_D4MS_NSCPS2</vt:lpstr>
      <vt:lpstr>Input_D4MS_OAADTEn1</vt:lpstr>
      <vt:lpstr>Input_D4MS_OAADTEn2</vt:lpstr>
      <vt:lpstr>Input_D4MS_OAADTEx1</vt:lpstr>
      <vt:lpstr>Input_D4MS_OAADTEx2</vt:lpstr>
      <vt:lpstr>Input_D4MS_OAADTIn1</vt:lpstr>
      <vt:lpstr>Input_D4MS_OAADTIn2</vt:lpstr>
      <vt:lpstr>Input_D4MS_OAADTOut1</vt:lpstr>
      <vt:lpstr>Input_D4MS_OAADTOut2</vt:lpstr>
      <vt:lpstr>Input_D4MS_RTBIn1</vt:lpstr>
      <vt:lpstr>Input_D4MS_RTBIn2</vt:lpstr>
      <vt:lpstr>Input_D4MS_RTBOut1</vt:lpstr>
      <vt:lpstr>Input_D4MS_RTBOut2</vt:lpstr>
      <vt:lpstr>Input_D4MS_Skew1</vt:lpstr>
      <vt:lpstr>Input_D4MS_Skew2</vt:lpstr>
      <vt:lpstr>Input_D4TS_DAADTEn1</vt:lpstr>
      <vt:lpstr>Input_D4TS_DAADTEn2</vt:lpstr>
      <vt:lpstr>Input_D4TS_DAADTEx1</vt:lpstr>
      <vt:lpstr>Input_D4TS_DAADTEx2</vt:lpstr>
      <vt:lpstr>Input_D4TS_DAADTIn1</vt:lpstr>
      <vt:lpstr>Input_D4TS_DAADTIn2</vt:lpstr>
      <vt:lpstr>Input_D4TS_DAADTOut1</vt:lpstr>
      <vt:lpstr>Input_D4TS_DAADTOut2</vt:lpstr>
      <vt:lpstr>Input_D4TS_ENLSR1</vt:lpstr>
      <vt:lpstr>Input_D4TS_ENLSR2</vt:lpstr>
      <vt:lpstr>Input_D4TS_ExitRTC1</vt:lpstr>
      <vt:lpstr>Input_D4TS_ExitRTC2</vt:lpstr>
      <vt:lpstr>Input_D4TS_lRMP1</vt:lpstr>
      <vt:lpstr>Input_D4TS_lRMP2</vt:lpstr>
      <vt:lpstr>Input_D4TS_lSTR1</vt:lpstr>
      <vt:lpstr>Input_D4TS_lSTR2</vt:lpstr>
      <vt:lpstr>Input_D4TS_LTBIn1</vt:lpstr>
      <vt:lpstr>Input_D4TS_LTBIn2</vt:lpstr>
      <vt:lpstr>Input_D4TS_LTBOut1</vt:lpstr>
      <vt:lpstr>Input_D4TS_LTBOut2</vt:lpstr>
      <vt:lpstr>Input_D4TS_LTWIn1</vt:lpstr>
      <vt:lpstr>Input_D4TS_LTWIn2</vt:lpstr>
      <vt:lpstr>Input_D4TS_LTWOut1</vt:lpstr>
      <vt:lpstr>Input_D4TS_LTWOut2</vt:lpstr>
      <vt:lpstr>Input_D4TS_MW1</vt:lpstr>
      <vt:lpstr>Input_D4TS_MW2</vt:lpstr>
      <vt:lpstr>Input_D4TS_NLTOIn1</vt:lpstr>
      <vt:lpstr>Input_D4TS_NLTOIn2</vt:lpstr>
      <vt:lpstr>Input_D4TS_NLTOOut1</vt:lpstr>
      <vt:lpstr>Input_D4TS_NLTOOut2</vt:lpstr>
      <vt:lpstr>Input_D4TS_NLxst1</vt:lpstr>
      <vt:lpstr>Input_D4TS_NLxst2</vt:lpstr>
      <vt:lpstr>Input_D4TS_NRPSL1</vt:lpstr>
      <vt:lpstr>Input_D4TS_NRPSL2</vt:lpstr>
      <vt:lpstr>Input_D4TS_NSCDW1</vt:lpstr>
      <vt:lpstr>Input_D4TS_NSCDW2</vt:lpstr>
      <vt:lpstr>Input_D4TS_NSCPS1</vt:lpstr>
      <vt:lpstr>Input_D4TS_NSCPS2</vt:lpstr>
      <vt:lpstr>Input_D4TS_OAADTEn1</vt:lpstr>
      <vt:lpstr>Input_D4TS_OAADTEn2</vt:lpstr>
      <vt:lpstr>Input_D4TS_OAADTEx1</vt:lpstr>
      <vt:lpstr>Input_D4TS_OAADTEx2</vt:lpstr>
      <vt:lpstr>Input_D4TS_OAADTIn1</vt:lpstr>
      <vt:lpstr>Input_D4TS_OAADTIn2</vt:lpstr>
      <vt:lpstr>Input_D4TS_OAADTOut1</vt:lpstr>
      <vt:lpstr>Input_D4TS_OAADTOut2</vt:lpstr>
      <vt:lpstr>Input_D4TS_PLTOIn1</vt:lpstr>
      <vt:lpstr>Input_D4TS_PLTOIn2</vt:lpstr>
      <vt:lpstr>Input_D4TS_PLTOOut1</vt:lpstr>
      <vt:lpstr>Input_D4TS_PLTOOut2</vt:lpstr>
      <vt:lpstr>Input_D4TS_RTBIn1</vt:lpstr>
      <vt:lpstr>Input_D4TS_RTBIn2</vt:lpstr>
      <vt:lpstr>Input_D4TS_RTBOut1</vt:lpstr>
      <vt:lpstr>Input_D4TS_RTBOut2</vt:lpstr>
      <vt:lpstr>Input_D4TS_RTCExit1</vt:lpstr>
      <vt:lpstr>Input_D4TS_RTCExit2</vt:lpstr>
      <vt:lpstr>Input_D4TS_RTCIn1</vt:lpstr>
      <vt:lpstr>Input_D4TS_RTCIn2</vt:lpstr>
      <vt:lpstr>Input_D4TS_RTCOut1</vt:lpstr>
      <vt:lpstr>Input_D4TS_RTCOut2</vt:lpstr>
      <vt:lpstr>Input_D4TSA_DAADTEn1</vt:lpstr>
      <vt:lpstr>Input_D4TSA_DAADTEn2</vt:lpstr>
      <vt:lpstr>Input_D4TSA_DAADTEx1</vt:lpstr>
      <vt:lpstr>Input_D4TSA_DAADTEx2</vt:lpstr>
      <vt:lpstr>Input_D4TSA_DAADTIn1</vt:lpstr>
      <vt:lpstr>Input_D4TSA_DAADTIn2</vt:lpstr>
      <vt:lpstr>Input_D4TSA_DAADTOut1</vt:lpstr>
      <vt:lpstr>Input_D4TSA_DAADTOut2</vt:lpstr>
      <vt:lpstr>Input_D4TSA_ENLSR1</vt:lpstr>
      <vt:lpstr>Input_D4TSA_ENLSR2</vt:lpstr>
      <vt:lpstr>Input_D4TSA_ExitRTC1</vt:lpstr>
      <vt:lpstr>Input_D4TSA_ExitRTC2</vt:lpstr>
      <vt:lpstr>Input_D4TSA_lRMP1</vt:lpstr>
      <vt:lpstr>Input_D4TSA_lRMP2</vt:lpstr>
      <vt:lpstr>Input_D4TSA_lSTR1</vt:lpstr>
      <vt:lpstr>Input_D4TSA_lSTR2</vt:lpstr>
      <vt:lpstr>Input_D4TSA_LTBIn1</vt:lpstr>
      <vt:lpstr>Input_D4TSA_LTBIn2</vt:lpstr>
      <vt:lpstr>Input_D4TSA_LTBOut1</vt:lpstr>
      <vt:lpstr>Input_D4TSA_LTBOut2</vt:lpstr>
      <vt:lpstr>Input_D4TSA_LTWIn1</vt:lpstr>
      <vt:lpstr>Input_D4TSA_LTWIn2</vt:lpstr>
      <vt:lpstr>Input_D4TSA_LTWOut1</vt:lpstr>
      <vt:lpstr>Input_D4TSA_LTWOut2</vt:lpstr>
      <vt:lpstr>Input_D4TSA_MW1</vt:lpstr>
      <vt:lpstr>Input_D4TSA_MW2</vt:lpstr>
      <vt:lpstr>Input_D4TSA_NLTOIn1</vt:lpstr>
      <vt:lpstr>Input_D4TSA_NLTOIn2</vt:lpstr>
      <vt:lpstr>Input_D4TSA_NLTOOut1</vt:lpstr>
      <vt:lpstr>Input_D4TSA_NLTOOut2</vt:lpstr>
      <vt:lpstr>Input_D4TSA_NLxst1</vt:lpstr>
      <vt:lpstr>Input_D4TSA_NLxst2</vt:lpstr>
      <vt:lpstr>Input_D4TSA_NRPSL1</vt:lpstr>
      <vt:lpstr>Input_D4TSA_NRPSL2</vt:lpstr>
      <vt:lpstr>Input_D4TSA_NSCDW1</vt:lpstr>
      <vt:lpstr>Input_D4TSA_NSCDW2</vt:lpstr>
      <vt:lpstr>Input_D4TSA_NSCPS1</vt:lpstr>
      <vt:lpstr>Input_D4TSA_NSCPS2</vt:lpstr>
      <vt:lpstr>Input_D4TSA_OAADTEn1</vt:lpstr>
      <vt:lpstr>Input_D4TSA_OAADTEn2</vt:lpstr>
      <vt:lpstr>Input_D4TSA_OAADTEx1</vt:lpstr>
      <vt:lpstr>Input_D4TSA_OAADTEx2</vt:lpstr>
      <vt:lpstr>Input_D4TSA_OAADTIn1</vt:lpstr>
      <vt:lpstr>Input_D4TSA_OAADTIn2</vt:lpstr>
      <vt:lpstr>Input_D4TSA_OAADTOut1</vt:lpstr>
      <vt:lpstr>Input_D4TSA_OAADTOut2</vt:lpstr>
      <vt:lpstr>Input_D4TSA_PLTOIn1</vt:lpstr>
      <vt:lpstr>Input_D4TSA_PLTOIn2</vt:lpstr>
      <vt:lpstr>Input_D4TSA_PLTOOut1</vt:lpstr>
      <vt:lpstr>Input_D4TSA_PLTOOut2</vt:lpstr>
      <vt:lpstr>Input_D4TSA_RTBIn1</vt:lpstr>
      <vt:lpstr>Input_D4TSA_RTBIn2</vt:lpstr>
      <vt:lpstr>Input_D4TSA_RTBOut1</vt:lpstr>
      <vt:lpstr>Input_D4TSA_RTBOut2</vt:lpstr>
      <vt:lpstr>Input_D4TSA_RTCExit1</vt:lpstr>
      <vt:lpstr>Input_D4TSA_RTCExit2</vt:lpstr>
      <vt:lpstr>Input_D4TSA_RTCIn1</vt:lpstr>
      <vt:lpstr>Input_D4TSA_RTCIn2</vt:lpstr>
      <vt:lpstr>Input_D4TSA_RTCOut1</vt:lpstr>
      <vt:lpstr>Input_D4TSA_RTCOut2</vt:lpstr>
      <vt:lpstr>Input_DesignYear</vt:lpstr>
      <vt:lpstr>Input_FacilitySubType</vt:lpstr>
      <vt:lpstr>Input_FacilityType</vt:lpstr>
      <vt:lpstr>Input_Include_AS</vt:lpstr>
      <vt:lpstr>Input_Include_CGT</vt:lpstr>
      <vt:lpstr>Input_Include_DLT</vt:lpstr>
      <vt:lpstr>Input_Include_JUG</vt:lpstr>
      <vt:lpstr>Input_Include_MS</vt:lpstr>
      <vt:lpstr>Input_Include_MUT</vt:lpstr>
      <vt:lpstr>Input_Include_O1</vt:lpstr>
      <vt:lpstr>Input_Include_O2</vt:lpstr>
      <vt:lpstr>Input_Include_R1</vt:lpstr>
      <vt:lpstr>Input_Include_R2</vt:lpstr>
      <vt:lpstr>Input_Include_RTI_D4MS</vt:lpstr>
      <vt:lpstr>Input_Include_RTI_D4TS</vt:lpstr>
      <vt:lpstr>Input_Include_RTI_D4TSA</vt:lpstr>
      <vt:lpstr>Input_Include_RTI_DDI</vt:lpstr>
      <vt:lpstr>Input_Include_RTI_O1</vt:lpstr>
      <vt:lpstr>Input_Include_RTI_O2</vt:lpstr>
      <vt:lpstr>Input_Include_RTI_R1</vt:lpstr>
      <vt:lpstr>Input_Include_RTI_R2</vt:lpstr>
      <vt:lpstr>Input_Include_RTI_SPUI</vt:lpstr>
      <vt:lpstr>Input_Include_SRCUT</vt:lpstr>
      <vt:lpstr>Input_Include_TS</vt:lpstr>
      <vt:lpstr>Input_Include_TSA</vt:lpstr>
      <vt:lpstr>Input_Include_URCUT</vt:lpstr>
      <vt:lpstr>Input_MajorApproachSpeed</vt:lpstr>
      <vt:lpstr>Input_MinorStop_DAADTMajor</vt:lpstr>
      <vt:lpstr>Input_MinorStop_DAADTMinor</vt:lpstr>
      <vt:lpstr>Input_MinorStop_Lighting</vt:lpstr>
      <vt:lpstr>Input_MinorStop_NumAppWithLTLns</vt:lpstr>
      <vt:lpstr>Input_MinorStop_NumAppWithRTLns</vt:lpstr>
      <vt:lpstr>Input_MinorStop_OAADTMajor</vt:lpstr>
      <vt:lpstr>Input_MinorStop_OAADTMinor</vt:lpstr>
      <vt:lpstr>Input_NumLegs</vt:lpstr>
      <vt:lpstr>Input_NumMajorLanes</vt:lpstr>
      <vt:lpstr>Input_OpenYear</vt:lpstr>
      <vt:lpstr>Input_Other1_BaseIntx</vt:lpstr>
      <vt:lpstr>Input_Other2_BaseIntx</vt:lpstr>
      <vt:lpstr>Input_Range_AGI_AllOverride_DesignAADT</vt:lpstr>
      <vt:lpstr>Input_Range_AGI_AllOverride_OpenAADT</vt:lpstr>
      <vt:lpstr>Input_Range_AGI_Base_DesignAADT</vt:lpstr>
      <vt:lpstr>Input_Range_AGI_Base_OpenAADT</vt:lpstr>
      <vt:lpstr>Input_RTI_AreaType</vt:lpstr>
      <vt:lpstr>Input_RTI_DAADTEn1</vt:lpstr>
      <vt:lpstr>Input_RTI_DAADTEn2</vt:lpstr>
      <vt:lpstr>Input_RTI_DAADTEx1</vt:lpstr>
      <vt:lpstr>Input_RTI_DAADTEx2</vt:lpstr>
      <vt:lpstr>Input_RTI_DAADTIn1</vt:lpstr>
      <vt:lpstr>Input_RTI_DAADTIn2</vt:lpstr>
      <vt:lpstr>Input_RTI_DAADTOut1</vt:lpstr>
      <vt:lpstr>Input_RTI_DAADTOut2</vt:lpstr>
      <vt:lpstr>Input_RTI_OAADTEn1</vt:lpstr>
      <vt:lpstr>Input_RTI_OAADTEn2</vt:lpstr>
      <vt:lpstr>Input_RTI_OAADTEx1</vt:lpstr>
      <vt:lpstr>Input_RTI_OAADTEx2</vt:lpstr>
      <vt:lpstr>Input_RTI_OAADTIn1</vt:lpstr>
      <vt:lpstr>Input_RTI_OAADTIn2</vt:lpstr>
      <vt:lpstr>Input_RTI_OAADTOut1</vt:lpstr>
      <vt:lpstr>Input_RTI_OAADTOut2</vt:lpstr>
      <vt:lpstr>Input_RTI_Other1_BaseIntx</vt:lpstr>
      <vt:lpstr>Input_RTI_Other2_BaseIntx</vt:lpstr>
      <vt:lpstr>Input_RTI_R1_BaseIntx</vt:lpstr>
      <vt:lpstr>Input_RTI_R1T1_AADT_L1</vt:lpstr>
      <vt:lpstr>Input_RTI_R1T1_AADT_L2</vt:lpstr>
      <vt:lpstr>Input_RTI_R1T1_AADT_L3</vt:lpstr>
      <vt:lpstr>Input_RTI_R1T1_Access_L1</vt:lpstr>
      <vt:lpstr>Input_RTI_R1T1_Access_L2</vt:lpstr>
      <vt:lpstr>Input_RTI_R1T1_Access_L3</vt:lpstr>
      <vt:lpstr>Input_RTI_R1T1_Bypass_L1</vt:lpstr>
      <vt:lpstr>Input_RTI_R1T1_Bypass_L2</vt:lpstr>
      <vt:lpstr>Input_RTI_R1T1_Bypass_L3</vt:lpstr>
      <vt:lpstr>Input_RTI_R1T1_ICD</vt:lpstr>
      <vt:lpstr>Input_RTI_R1T2_AADT_L1</vt:lpstr>
      <vt:lpstr>Input_RTI_R1T2_AADT_L2</vt:lpstr>
      <vt:lpstr>Input_RTI_R1T2_AADT_L3</vt:lpstr>
      <vt:lpstr>Input_RTI_R1T2_Access_L1</vt:lpstr>
      <vt:lpstr>Input_RTI_R1T2_Access_L2</vt:lpstr>
      <vt:lpstr>Input_RTI_R1T2_Access_L3</vt:lpstr>
      <vt:lpstr>Input_RTI_R1T2_Bypass_L1</vt:lpstr>
      <vt:lpstr>Input_RTI_R1T2_Bypass_L2</vt:lpstr>
      <vt:lpstr>Input_RTI_R1T2_Bypass_L3</vt:lpstr>
      <vt:lpstr>Input_RTI_R1T2_ICD</vt:lpstr>
      <vt:lpstr>Input_RTI_R2T1_AADT_L1</vt:lpstr>
      <vt:lpstr>Input_RTI_R2T1_AADT_L2</vt:lpstr>
      <vt:lpstr>Input_RTI_R2T1_AADT_L3</vt:lpstr>
      <vt:lpstr>Input_RTI_R2T1_Bypass_L1</vt:lpstr>
      <vt:lpstr>Input_RTI_R2T1_Bypass_L2</vt:lpstr>
      <vt:lpstr>Input_RTI_R2T1_Bypass_L3</vt:lpstr>
      <vt:lpstr>Input_RTI_R2T1_CL_L1</vt:lpstr>
      <vt:lpstr>Input_RTI_R2T1_CL_L2</vt:lpstr>
      <vt:lpstr>Input_RTI_R2T1_CL_L3</vt:lpstr>
      <vt:lpstr>Input_RTI_R2T1_EL_L1</vt:lpstr>
      <vt:lpstr>Input_RTI_R2T1_EL_L2</vt:lpstr>
      <vt:lpstr>Input_RTI_R2T1_EL_L3</vt:lpstr>
      <vt:lpstr>Input_RTI_R2T1_EW_L1</vt:lpstr>
      <vt:lpstr>Input_RTI_R2T1_EW_L2</vt:lpstr>
      <vt:lpstr>Input_RTI_R2T1_EW_L3</vt:lpstr>
      <vt:lpstr>Input_RTI_R2T2_AADT_L1</vt:lpstr>
      <vt:lpstr>Input_RTI_R2T2_AADT_L2</vt:lpstr>
      <vt:lpstr>Input_RTI_R2T2_AADT_L3</vt:lpstr>
      <vt:lpstr>Input_RTI_R2T2_Bypass_L1</vt:lpstr>
      <vt:lpstr>Input_RTI_R2T2_Bypass_L2</vt:lpstr>
      <vt:lpstr>Input_RTI_R2T2_Bypass_L3</vt:lpstr>
      <vt:lpstr>Input_RTI_R2T2_CL_L1</vt:lpstr>
      <vt:lpstr>Input_RTI_R2T2_CL_L2</vt:lpstr>
      <vt:lpstr>Input_RTI_R2T2_CL_L3</vt:lpstr>
      <vt:lpstr>Input_RTI_R2T2_EL_L1</vt:lpstr>
      <vt:lpstr>Input_RTI_R2T2_EL_L2</vt:lpstr>
      <vt:lpstr>Input_RTI_R2T2_EL_L3</vt:lpstr>
      <vt:lpstr>Input_RTI_R2T2_EW_L1</vt:lpstr>
      <vt:lpstr>Input_RTI_R2T2_EW_L2</vt:lpstr>
      <vt:lpstr>Input_RTI_R2T2_EW_L3</vt:lpstr>
      <vt:lpstr>Input_SPUI_NFFRT</vt:lpstr>
      <vt:lpstr>Input_TrafficSignal_AppWithRTORProhibit</vt:lpstr>
      <vt:lpstr>Input_TrafficSignal_DAADTMajor</vt:lpstr>
      <vt:lpstr>Input_TrafficSignal_DAADTMinor</vt:lpstr>
      <vt:lpstr>Input_TrafficSignal_NumAppWithLTLns</vt:lpstr>
      <vt:lpstr>Input_TrafficSignal_NumAppWithRTLns</vt:lpstr>
      <vt:lpstr>Input_TrafficSignal_NumLTPermitted</vt:lpstr>
      <vt:lpstr>Input_TrafficSignal_NumLTPermProt</vt:lpstr>
      <vt:lpstr>Input_TrafficSignal_NumLTProtected</vt:lpstr>
      <vt:lpstr>Input_TrafficSignal_NumMajorLns</vt:lpstr>
      <vt:lpstr>Input_TrafficSignal_NumMinorLns</vt:lpstr>
      <vt:lpstr>Input_TrafficSignal_NumRTChannelization</vt:lpstr>
      <vt:lpstr>Input_TrafficSignal_OAADTMajor</vt:lpstr>
      <vt:lpstr>Input_TrafficSignal_OAADTMinor</vt:lpstr>
      <vt:lpstr>Input_TrafficSignal_PedActivity</vt:lpstr>
      <vt:lpstr>Input_TrafficSignal_PedLnsCross</vt:lpstr>
      <vt:lpstr>Input_TrafficSignal_PedVol</vt:lpstr>
      <vt:lpstr>Input_TrafficSignal_RedLightCameras</vt:lpstr>
      <vt:lpstr>Input_TrafficSignal_UTurnProhibit</vt:lpstr>
      <vt:lpstr>Input_TrafficSignal2_AppWithRTORProhibit</vt:lpstr>
      <vt:lpstr>Input_TrafficSignal2_DAADTMajor</vt:lpstr>
      <vt:lpstr>Input_TrafficSignal2_DAADTMinor</vt:lpstr>
      <vt:lpstr>Input_TrafficSignal2_HasSchool</vt:lpstr>
      <vt:lpstr>Input_TrafficSignal2_Lighting</vt:lpstr>
      <vt:lpstr>Input_TrafficSignal2_NumABC</vt:lpstr>
      <vt:lpstr>Input_TrafficSignal2_NumAppWithLTLns</vt:lpstr>
      <vt:lpstr>Input_TrafficSignal2_NumAppWithRTLns</vt:lpstr>
      <vt:lpstr>Input_TrafficSignal2_NumBusStops</vt:lpstr>
      <vt:lpstr>Input_TrafficSignal2_NumLTPermitted</vt:lpstr>
      <vt:lpstr>Input_TrafficSignal2_NumLTPermProt</vt:lpstr>
      <vt:lpstr>Input_TrafficSignal2_NumLTProtected</vt:lpstr>
      <vt:lpstr>Input_TrafficSignal2_NumMajorLns</vt:lpstr>
      <vt:lpstr>Input_TrafficSignal2_NumMinorLns</vt:lpstr>
      <vt:lpstr>Input_TrafficSignal2_NumRTChannelization</vt:lpstr>
      <vt:lpstr>Input_TrafficSignal2_OAADTMajor</vt:lpstr>
      <vt:lpstr>Input_TrafficSignal2_OAADTMinor</vt:lpstr>
      <vt:lpstr>Input_TrafficSignal2_PedActivity</vt:lpstr>
      <vt:lpstr>Input_TrafficSignal2_PedLnsCross</vt:lpstr>
      <vt:lpstr>Input_TrafficSignal2_PedVol</vt:lpstr>
      <vt:lpstr>Input_TrafficSignal2_RedLightCameras</vt:lpstr>
      <vt:lpstr>Input_TrafficSignal2_UTurnProhibit</vt:lpstr>
      <vt:lpstr>IsChecked_AGI_AllStop</vt:lpstr>
      <vt:lpstr>IsChecked_AGI_DLT</vt:lpstr>
      <vt:lpstr>IsChecked_AGI_GreenT</vt:lpstr>
      <vt:lpstr>IsChecked_AGI_Jughandle</vt:lpstr>
      <vt:lpstr>IsChecked_AGI_MinorStop</vt:lpstr>
      <vt:lpstr>IsChecked_AGI_MUT</vt:lpstr>
      <vt:lpstr>IsChecked_AGI_Other1</vt:lpstr>
      <vt:lpstr>IsChecked_AGI_Other2</vt:lpstr>
      <vt:lpstr>IsChecked_AGI_RCUTSig</vt:lpstr>
      <vt:lpstr>IsChecked_AGI_RCUTUnsig</vt:lpstr>
      <vt:lpstr>IsChecked_AGI_Rdbt1Ln</vt:lpstr>
      <vt:lpstr>IsChecked_AGI_Rdbt2Ln</vt:lpstr>
      <vt:lpstr>IsChecked_AGI_TrafficSignal</vt:lpstr>
      <vt:lpstr>IsChecked_AGI_TrafficSignal2</vt:lpstr>
      <vt:lpstr>IsChecked_RTI_D4MS</vt:lpstr>
      <vt:lpstr>IsChecked_RTI_D4TS</vt:lpstr>
      <vt:lpstr>IsChecked_RTI_D4TSA</vt:lpstr>
      <vt:lpstr>IsChecked_RTI_DDI</vt:lpstr>
      <vt:lpstr>IsChecked_RTI_Other1</vt:lpstr>
      <vt:lpstr>IsChecked_RTI_Other2</vt:lpstr>
      <vt:lpstr>IsChecked_RTI_Rdbt1Ln</vt:lpstr>
      <vt:lpstr>IsChecked_RTI_Rdbt2Ln</vt:lpstr>
      <vt:lpstr>IsChecked_RTI_SPUI</vt:lpstr>
      <vt:lpstr>Label_AGI_1LnRdbt</vt:lpstr>
      <vt:lpstr>Label_AGI_2LnRdbt</vt:lpstr>
      <vt:lpstr>Label_AGI_AllStop</vt:lpstr>
      <vt:lpstr>Label_AGI_DLT</vt:lpstr>
      <vt:lpstr>Label_AGI_GreenT</vt:lpstr>
      <vt:lpstr>Label_AGI_Jughandle</vt:lpstr>
      <vt:lpstr>Label_AGI_MinorStop</vt:lpstr>
      <vt:lpstr>Label_AGI_MUT</vt:lpstr>
      <vt:lpstr>Label_AGI_RCUTSig</vt:lpstr>
      <vt:lpstr>Label_AGI_RCUTUnsig</vt:lpstr>
      <vt:lpstr>Label_AGI_TrafficSignal</vt:lpstr>
      <vt:lpstr>Label_AnalysisYearType_OpenAndDesign</vt:lpstr>
      <vt:lpstr>Label_AnalysisYearType_OpenOnly</vt:lpstr>
      <vt:lpstr>Label_Is4Leg</vt:lpstr>
      <vt:lpstr>Label_Ped_Activity_Custom</vt:lpstr>
      <vt:lpstr>Label_Ped_Activity_High</vt:lpstr>
      <vt:lpstr>Label_Ped_Activity_Low</vt:lpstr>
      <vt:lpstr>Label_Ped_Activity_MedHigh</vt:lpstr>
      <vt:lpstr>Label_Ped_Activity_Medium</vt:lpstr>
      <vt:lpstr>Label_Ped_Activity_MedLow</vt:lpstr>
      <vt:lpstr>Label_RTI_1LnRdbt</vt:lpstr>
      <vt:lpstr>Label_RTI_2LnRdbt</vt:lpstr>
      <vt:lpstr>Label_RTI_D4MS</vt:lpstr>
      <vt:lpstr>Label_RTI_D4TS</vt:lpstr>
      <vt:lpstr>Label_RTI_D4TSA</vt:lpstr>
      <vt:lpstr>Label_RTI_DDI</vt:lpstr>
      <vt:lpstr>Label_RTI_Other1</vt:lpstr>
      <vt:lpstr>Label_RTI_Other2</vt:lpstr>
      <vt:lpstr>Label_RTI_SPUI</vt:lpstr>
      <vt:lpstr>Output_Range_AGI_Design</vt:lpstr>
      <vt:lpstr>Output_Range_AGI_LC</vt:lpstr>
      <vt:lpstr>Output_Range_RTI_Design</vt:lpstr>
      <vt:lpstr>Output_Range_RTI_LC</vt:lpstr>
      <vt:lpstr>Output_Ranking_Priority</vt:lpstr>
      <vt:lpstr>Introduction!Print_Area</vt:lpstr>
      <vt:lpstr>ProjectName</vt:lpstr>
      <vt:lpstr>ProjectRef</vt:lpstr>
      <vt:lpstr>Range_ItxList</vt:lpstr>
      <vt:lpstr>Range_ItxList_RTI</vt:lpstr>
      <vt:lpstr>Range_R2L</vt:lpstr>
      <vt:lpstr>Range_RAB1</vt:lpstr>
      <vt:lpstr>Range_RAB2</vt:lpstr>
      <vt:lpstr>Range_RML</vt:lpstr>
      <vt:lpstr>Range_Selection_AGI</vt:lpstr>
      <vt:lpstr>Range_Selection_RTI</vt:lpstr>
      <vt:lpstr>Range_USA_1x1</vt:lpstr>
      <vt:lpstr>Range_USA_1x2</vt:lpstr>
      <vt:lpstr>Range_USA_2x2_5F</vt:lpstr>
      <vt:lpstr>Range_USA_2x2_6P</vt:lpstr>
      <vt:lpstr>Range_USA_HS</vt:lpstr>
      <vt:lpstr>State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ltrask@kittelson.com;pjenior@kittelson.com</dc:creator>
  <cp:lastModifiedBy>Lake Trask</cp:lastModifiedBy>
  <cp:lastPrinted>2016-11-18T18:04:46Z</cp:lastPrinted>
  <dcterms:created xsi:type="dcterms:W3CDTF">2016-11-18T15:30:14Z</dcterms:created>
  <dcterms:modified xsi:type="dcterms:W3CDTF">2018-10-29T18:48:49Z</dcterms:modified>
</cp:coreProperties>
</file>