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RS-10\POOLED FUND\A - Complete List of Pooled Fund Projects\TPF &amp; SPR Projects\TPF-5(260)--Colorado--1280\"/>
    </mc:Choice>
  </mc:AlternateContent>
  <xr:revisionPtr revIDLastSave="0" documentId="8_{D47CF814-3119-4E5F-9B51-D4D13AD34495}" xr6:coauthVersionLast="47" xr6:coauthVersionMax="47" xr10:uidLastSave="{00000000-0000-0000-0000-000000000000}"/>
  <bookViews>
    <workbookView xWindow="-38510" yWindow="2120" windowWidth="19420" windowHeight="11500" xr2:uid="{00000000-000D-0000-FFFF-FFFF00000000}"/>
  </bookViews>
  <sheets>
    <sheet name="CLEAN" sheetId="1" r:id="rId1"/>
    <sheet name="PIVOT_Clean" sheetId="2" state="hidden" r:id="rId2"/>
    <sheet name="PIVOT_FMIS" sheetId="4" state="hidden" r:id="rId3"/>
    <sheet name="Project Detail Summary (Exporte" sheetId="3" state="hidden" r:id="rId4"/>
  </sheets>
  <definedNames>
    <definedName name="_xlnm._FilterDatabase" localSheetId="0" hidden="1">CLEAN!$A$7:$G$22</definedName>
  </definedNames>
  <calcPr calcId="191029"/>
  <pivotCaches>
    <pivotCache cacheId="3" r:id="rId5"/>
    <pivotCache cacheId="4" r:id="rId6"/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C32" i="1"/>
  <c r="J13" i="2"/>
  <c r="J12" i="2"/>
  <c r="J11" i="2"/>
  <c r="J10" i="2"/>
  <c r="J9" i="2"/>
  <c r="J8" i="2"/>
  <c r="J7" i="2"/>
  <c r="J6" i="2"/>
  <c r="J5" i="2"/>
  <c r="E19" i="2"/>
  <c r="E18" i="2"/>
  <c r="E17" i="2"/>
  <c r="E16" i="2"/>
  <c r="E15" i="2"/>
  <c r="E14" i="2"/>
  <c r="F8" i="2"/>
  <c r="F5" i="2"/>
  <c r="F7" i="2"/>
  <c r="F6" i="2"/>
  <c r="F9" i="2"/>
  <c r="F4" i="2"/>
  <c r="E9" i="2"/>
  <c r="E8" i="2"/>
  <c r="E7" i="2"/>
  <c r="E6" i="2"/>
  <c r="E5" i="2"/>
  <c r="E4" i="2"/>
  <c r="J15" i="2"/>
  <c r="J14" i="2"/>
  <c r="C21" i="1" l="1"/>
  <c r="D32" i="1"/>
  <c r="F11" i="1" l="1"/>
  <c r="F15" i="1"/>
  <c r="F20" i="1"/>
  <c r="F21" i="1" l="1"/>
  <c r="D14" i="1"/>
  <c r="D13" i="1"/>
  <c r="D18" i="1"/>
  <c r="D19" i="1"/>
  <c r="D20" i="1"/>
  <c r="D17" i="1"/>
  <c r="D11" i="1"/>
  <c r="D16" i="1"/>
  <c r="D8" i="1"/>
  <c r="D12" i="1"/>
  <c r="D9" i="1"/>
  <c r="D15" i="1"/>
  <c r="D21" i="1" l="1"/>
  <c r="G21" i="1" l="1"/>
</calcChain>
</file>

<file path=xl/sharedStrings.xml><?xml version="1.0" encoding="utf-8"?>
<sst xmlns="http://schemas.openxmlformats.org/spreadsheetml/2006/main" count="271" uniqueCount="73">
  <si>
    <t>Final</t>
  </si>
  <si>
    <t>Contribution Percentage</t>
  </si>
  <si>
    <t>MONTANA</t>
  </si>
  <si>
    <t>NEW JERSEY</t>
  </si>
  <si>
    <t>L56E</t>
  </si>
  <si>
    <t>Remaing Project Funds</t>
  </si>
  <si>
    <t>UDO Funds to Return to Partners (based on Cont %)</t>
  </si>
  <si>
    <t>Total Project Funds</t>
  </si>
  <si>
    <t>Total Expenditures</t>
  </si>
  <si>
    <t>Project No.: TPF-5(260)</t>
  </si>
  <si>
    <t>Project Manager: David Reeves</t>
  </si>
  <si>
    <t>COLORADO</t>
  </si>
  <si>
    <t>Obligation</t>
  </si>
  <si>
    <t>Z560</t>
  </si>
  <si>
    <t>FHWA</t>
  </si>
  <si>
    <t>Z378</t>
  </si>
  <si>
    <t>Z448</t>
  </si>
  <si>
    <t>5L6E</t>
  </si>
  <si>
    <t>GEORGIA</t>
  </si>
  <si>
    <t>0860</t>
  </si>
  <si>
    <t>M560</t>
  </si>
  <si>
    <t>IOWA</t>
  </si>
  <si>
    <t>MISSISSIPPI</t>
  </si>
  <si>
    <t>L560</t>
  </si>
  <si>
    <t>OREGON</t>
  </si>
  <si>
    <t>TEXAS</t>
  </si>
  <si>
    <t>SHRP2 (FHWA)</t>
  </si>
  <si>
    <t>M6T0</t>
  </si>
  <si>
    <t>Program Code</t>
  </si>
  <si>
    <t>Contributor</t>
  </si>
  <si>
    <t>41TE</t>
  </si>
  <si>
    <t>Non-Refundable
Contributions</t>
  </si>
  <si>
    <t>Program Code
Received</t>
  </si>
  <si>
    <t>Other Funds
Received</t>
  </si>
  <si>
    <t>State Funds</t>
  </si>
  <si>
    <t>Deallocated</t>
  </si>
  <si>
    <t xml:space="preserve">38TE </t>
  </si>
  <si>
    <t>OREGON (SHRP2)</t>
  </si>
  <si>
    <t xml:space="preserve"> </t>
  </si>
  <si>
    <t>Total Deallocated</t>
  </si>
  <si>
    <t>Remaining Funds</t>
  </si>
  <si>
    <t>Program Action</t>
  </si>
  <si>
    <t>Row Labels</t>
  </si>
  <si>
    <t>Grand Total</t>
  </si>
  <si>
    <t>Sum of Obligation</t>
  </si>
  <si>
    <t>Sum of Total Expenditures</t>
  </si>
  <si>
    <t>Sum of Remaing Project Funds</t>
  </si>
  <si>
    <t>Project Detail Summary (Exported At: 1/6/2026 2:40:13 PM)</t>
  </si>
  <si>
    <t>ProgramCode</t>
  </si>
  <si>
    <t>DetailNumber</t>
  </si>
  <si>
    <t>DemoId</t>
  </si>
  <si>
    <t>PurposeId</t>
  </si>
  <si>
    <t>GrantNumber</t>
  </si>
  <si>
    <t>ImprovementType</t>
  </si>
  <si>
    <t>TotalCost</t>
  </si>
  <si>
    <t>FederalFunds</t>
  </si>
  <si>
    <t>AdvanceConstruction</t>
  </si>
  <si>
    <t>Status</t>
  </si>
  <si>
    <t>70</t>
  </si>
  <si>
    <t xml:space="preserve">        19-Research</t>
  </si>
  <si>
    <t>Active</t>
  </si>
  <si>
    <t/>
  </si>
  <si>
    <t>38TE</t>
  </si>
  <si>
    <t>71</t>
  </si>
  <si>
    <t>72</t>
  </si>
  <si>
    <t>73</t>
  </si>
  <si>
    <t>74</t>
  </si>
  <si>
    <t>75</t>
  </si>
  <si>
    <t>76</t>
  </si>
  <si>
    <t>Sum of TotalCost</t>
  </si>
  <si>
    <t>Sum of Remaining Funds</t>
  </si>
  <si>
    <t>Sum of Other Funds</t>
  </si>
  <si>
    <r>
      <t xml:space="preserve">Note: </t>
    </r>
    <r>
      <rPr>
        <sz val="11"/>
        <rFont val="Times New Roman"/>
        <family val="1"/>
      </rPr>
      <t xml:space="preserve">Several partners contributed allocated funds which were either deallocated or fully expended.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</si>
</sst>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imes New Roman"/>
    </font>
    <font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7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wrapText="1"/>
    </xf>
    <xf numFmtId="43" fontId="3" fillId="0" borderId="1" xfId="1" applyFont="1" applyFill="1" applyBorder="1" applyAlignment="1">
      <alignment horizontal="right"/>
    </xf>
    <xf numFmtId="10" fontId="3" fillId="0" borderId="1" xfId="0" applyNumberFormat="1" applyFont="1" applyFill="1" applyBorder="1" applyAlignment="1">
      <alignment horizontal="right"/>
    </xf>
    <xf numFmtId="0" fontId="3" fillId="0" borderId="2" xfId="0" applyFont="1" applyFill="1" applyBorder="1"/>
    <xf numFmtId="43" fontId="3" fillId="0" borderId="2" xfId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top"/>
    </xf>
    <xf numFmtId="10" fontId="2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164" fontId="3" fillId="0" borderId="0" xfId="0" applyNumberFormat="1" applyFont="1" applyFill="1" applyAlignment="1"/>
    <xf numFmtId="0" fontId="2" fillId="0" borderId="2" xfId="0" applyFont="1" applyFill="1" applyBorder="1"/>
    <xf numFmtId="43" fontId="3" fillId="0" borderId="1" xfId="1" applyFont="1" applyFill="1" applyBorder="1"/>
    <xf numFmtId="43" fontId="3" fillId="0" borderId="2" xfId="1" applyFont="1" applyFill="1" applyBorder="1"/>
    <xf numFmtId="164" fontId="2" fillId="2" borderId="2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quotePrefix="1" applyFont="1" applyFill="1" applyBorder="1" applyAlignment="1">
      <alignment horizontal="center"/>
    </xf>
    <xf numFmtId="0" fontId="3" fillId="0" borderId="1" xfId="0" applyFont="1" applyFill="1" applyBorder="1"/>
    <xf numFmtId="0" fontId="3" fillId="4" borderId="0" xfId="0" applyFont="1" applyFill="1"/>
    <xf numFmtId="43" fontId="7" fillId="5" borderId="6" xfId="0" applyNumberFormat="1" applyFont="1" applyFill="1" applyBorder="1" applyAlignment="1">
      <alignment horizontal="right"/>
    </xf>
    <xf numFmtId="0" fontId="7" fillId="4" borderId="7" xfId="0" applyFont="1" applyFill="1" applyBorder="1"/>
    <xf numFmtId="43" fontId="7" fillId="0" borderId="8" xfId="0" applyNumberFormat="1" applyFont="1" applyBorder="1" applyAlignment="1">
      <alignment horizontal="right"/>
    </xf>
    <xf numFmtId="43" fontId="3" fillId="0" borderId="0" xfId="0" applyNumberFormat="1" applyFont="1" applyFill="1"/>
    <xf numFmtId="14" fontId="3" fillId="0" borderId="0" xfId="0" applyNumberFormat="1" applyFont="1" applyFill="1" applyBorder="1" applyAlignment="1">
      <alignment horizontal="left"/>
    </xf>
    <xf numFmtId="43" fontId="3" fillId="0" borderId="0" xfId="1" applyFont="1" applyFill="1" applyBorder="1" applyAlignment="1">
      <alignment horizontal="right"/>
    </xf>
    <xf numFmtId="0" fontId="3" fillId="0" borderId="0" xfId="0" applyFont="1" applyBorder="1"/>
    <xf numFmtId="44" fontId="2" fillId="6" borderId="2" xfId="2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43" fontId="3" fillId="0" borderId="2" xfId="1" applyFont="1" applyFill="1" applyBorder="1" applyAlignment="1">
      <alignment horizontal="center"/>
    </xf>
    <xf numFmtId="44" fontId="3" fillId="0" borderId="2" xfId="2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43" fontId="3" fillId="0" borderId="2" xfId="0" applyNumberFormat="1" applyFont="1" applyBorder="1" applyAlignment="1">
      <alignment horizontal="center"/>
    </xf>
    <xf numFmtId="44" fontId="3" fillId="0" borderId="2" xfId="0" applyNumberFormat="1" applyFont="1" applyBorder="1" applyAlignment="1">
      <alignment horizontal="center"/>
    </xf>
    <xf numFmtId="0" fontId="2" fillId="6" borderId="3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0" fontId="8" fillId="0" borderId="0" xfId="3"/>
    <xf numFmtId="164" fontId="8" fillId="0" borderId="0" xfId="3" applyNumberFormat="1"/>
    <xf numFmtId="0" fontId="8" fillId="0" borderId="9" xfId="3" applyBorder="1"/>
    <xf numFmtId="0" fontId="8" fillId="0" borderId="11" xfId="3" applyBorder="1"/>
    <xf numFmtId="0" fontId="8" fillId="0" borderId="9" xfId="3" applyBorder="1" applyAlignment="1">
      <alignment horizontal="left"/>
    </xf>
    <xf numFmtId="44" fontId="8" fillId="0" borderId="11" xfId="3" applyNumberFormat="1" applyBorder="1"/>
    <xf numFmtId="0" fontId="8" fillId="0" borderId="10" xfId="3" applyBorder="1" applyAlignment="1">
      <alignment horizontal="left"/>
    </xf>
    <xf numFmtId="44" fontId="8" fillId="0" borderId="12" xfId="3" applyNumberFormat="1" applyBorder="1"/>
    <xf numFmtId="0" fontId="8" fillId="0" borderId="13" xfId="3" applyBorder="1" applyAlignment="1">
      <alignment horizontal="left"/>
    </xf>
    <xf numFmtId="44" fontId="8" fillId="0" borderId="14" xfId="3" applyNumberFormat="1" applyBorder="1"/>
    <xf numFmtId="0" fontId="8" fillId="0" borderId="9" xfId="3" pivotButton="1" applyBorder="1"/>
  </cellXfs>
  <cellStyles count="4">
    <cellStyle name="Comma" xfId="1" builtinId="3"/>
    <cellStyle name="Currency" xfId="2" builtinId="4"/>
    <cellStyle name="Normal" xfId="0" builtinId="0"/>
    <cellStyle name="Normal 2" xfId="3" xr:uid="{2631E3E5-2E71-47E2-B348-6B6ACD7F6131}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rgb="FFFF0000"/>
      </font>
      <fill>
        <patternFill patternType="none">
          <bgColor auto="1"/>
        </patternFill>
      </fill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ige.castaneda\Downloads\ProjectDetailSummary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staneda, Paige (FHWA)" refreshedDate="46028.528726736113" createdVersion="8" refreshedVersion="8" minRefreshableVersion="3" recordCount="13" xr:uid="{724AC555-6C7C-4289-9209-0CC1FCFA8D6C}">
  <cacheSource type="worksheet">
    <worksheetSource ref="A7:G20" sheet="CLEAN"/>
  </cacheSource>
  <cacheFields count="7">
    <cacheField name="Contributor" numFmtId="0">
      <sharedItems/>
    </cacheField>
    <cacheField name="Program Code" numFmtId="0">
      <sharedItems count="6">
        <s v="L56E"/>
        <s v="Z560"/>
        <s v="State Funds"/>
        <s v="0860"/>
        <s v="M560"/>
        <s v="L560"/>
      </sharedItems>
    </cacheField>
    <cacheField name="Obligation" numFmtId="43">
      <sharedItems containsSemiMixedTypes="0" containsString="0" containsNumber="1" containsInteger="1" minValue="10000" maxValue="85000"/>
    </cacheField>
    <cacheField name="Contribution Percentage" numFmtId="10">
      <sharedItems containsString="0" containsBlank="1" containsNumber="1" minValue="1.7241379310344827E-2" maxValue="0.14655172413793102"/>
    </cacheField>
    <cacheField name="Total Expenditures" numFmtId="43">
      <sharedItems containsSemiMixedTypes="0" containsString="0" containsNumber="1" minValue="321.26" maxValue="75000"/>
    </cacheField>
    <cacheField name="Remaing Project Funds" numFmtId="43">
      <sharedItems containsString="0" containsBlank="1" containsNumber="1" minValue="0" maxValue="24678.74"/>
    </cacheField>
    <cacheField name="UDO Funds to Return to Partners (based on Cont %)" numFmtId="43">
      <sharedItems containsString="0" containsBlank="1" containsNumber="1" minValue="0" maxValue="24678.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staneda, Paige (FHWA)" refreshedDate="46028.528364120371" createdVersion="8" refreshedVersion="8" minRefreshableVersion="3" recordCount="27" xr:uid="{6AA0B45F-5F16-441C-86A1-BDDA65DB09C9}">
  <cacheSource type="worksheet">
    <worksheetSource name="Table1" r:id="rId2"/>
  </cacheSource>
  <cacheFields count="9">
    <cacheField name="ProgramCode" numFmtId="0">
      <sharedItems count="12">
        <s v="0860"/>
        <s v=""/>
        <s v="38TE"/>
        <s v="41TE"/>
        <s v="5L6E"/>
        <s v="L560"/>
        <s v="L56E"/>
        <s v="M560"/>
        <s v="M6T0"/>
        <s v="Z378"/>
        <s v="Z448"/>
        <s v="Z560"/>
      </sharedItems>
    </cacheField>
    <cacheField name="DetailNumber" numFmtId="0">
      <sharedItems/>
    </cacheField>
    <cacheField name="DemoId" numFmtId="0">
      <sharedItems containsBlank="1"/>
    </cacheField>
    <cacheField name="PurposeId" numFmtId="0">
      <sharedItems containsBlank="1"/>
    </cacheField>
    <cacheField name="GrantNumber" numFmtId="164">
      <sharedItems containsBlank="1"/>
    </cacheField>
    <cacheField name="ImprovementType" numFmtId="164">
      <sharedItems/>
    </cacheField>
    <cacheField name="TotalCost" numFmtId="164">
      <sharedItems containsSemiMixedTypes="0" containsString="0" containsNumber="1" minValue="321.26" maxValue="280385.51"/>
    </cacheField>
    <cacheField name="FederalFunds" numFmtId="0">
      <sharedItems containsSemiMixedTypes="0" containsString="0" containsNumber="1" minValue="321.26" maxValue="270321.26"/>
    </cacheField>
    <cacheField name="AdvanceConstruction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staneda, Paige (FHWA)" refreshedDate="46028.535163773151" createdVersion="8" refreshedVersion="8" minRefreshableVersion="3" recordCount="7" xr:uid="{2F613AE6-5AF0-44C0-AB74-5DE00EBF9FBA}">
  <cacheSource type="worksheet">
    <worksheetSource ref="A24:E31" sheet="CLEAN"/>
  </cacheSource>
  <cacheFields count="5">
    <cacheField name="Non-Refundable_x000a_Contributions" numFmtId="0">
      <sharedItems/>
    </cacheField>
    <cacheField name="Program Code_x000a_Received" numFmtId="0">
      <sharedItems count="6">
        <s v="Z378"/>
        <s v="Z448"/>
        <s v="5L6E"/>
        <s v="M6T0"/>
        <s v="41TE"/>
        <s v="38TE "/>
      </sharedItems>
    </cacheField>
    <cacheField name="Other Funds_x000a_Received" numFmtId="0">
      <sharedItems containsSemiMixedTypes="0" containsString="0" containsNumber="1" minValue="1891" maxValue="100000"/>
    </cacheField>
    <cacheField name="Remaining Funds" numFmtId="44">
      <sharedItems containsSemiMixedTypes="0" containsString="0" containsNumber="1" minValue="0" maxValue="28791.87"/>
    </cacheField>
    <cacheField name="Program Ac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s v="COLORADO"/>
    <x v="0"/>
    <n v="75000"/>
    <n v="0.12931034482758622"/>
    <n v="75000"/>
    <m/>
    <m/>
  </r>
  <r>
    <s v="COLORADO"/>
    <x v="1"/>
    <n v="85000"/>
    <n v="0.14655172413793102"/>
    <n v="60321.31"/>
    <n v="24678.69"/>
    <n v="24678.69"/>
  </r>
  <r>
    <s v="COLORADO"/>
    <x v="2"/>
    <n v="15000"/>
    <m/>
    <n v="15000"/>
    <n v="0"/>
    <m/>
  </r>
  <r>
    <s v="GEORGIA"/>
    <x v="3"/>
    <n v="25000"/>
    <n v="4.3103448275862072E-2"/>
    <n v="321.26"/>
    <n v="24678.74"/>
    <n v="24678.74"/>
  </r>
  <r>
    <s v="GEORGIA"/>
    <x v="0"/>
    <n v="50000"/>
    <n v="8.6206896551724144E-2"/>
    <n v="50000"/>
    <n v="0"/>
    <m/>
  </r>
  <r>
    <s v="GEORGIA"/>
    <x v="1"/>
    <n v="75000"/>
    <n v="0.12931034482758622"/>
    <n v="75000"/>
    <m/>
    <m/>
  </r>
  <r>
    <s v="GEORGIA"/>
    <x v="4"/>
    <n v="25000"/>
    <n v="4.3103448275862072E-2"/>
    <n v="25000"/>
    <m/>
    <m/>
  </r>
  <r>
    <s v="IOWA"/>
    <x v="0"/>
    <n v="75000"/>
    <n v="0.12931034482758622"/>
    <n v="62660.63"/>
    <n v="12339.370000000003"/>
    <n v="12399.37"/>
  </r>
  <r>
    <s v="MISSISSIPPI"/>
    <x v="5"/>
    <n v="25000"/>
    <n v="4.3103448275862072E-2"/>
    <n v="16773.75"/>
    <n v="8226.25"/>
    <n v="8226.25"/>
  </r>
  <r>
    <s v="MONTANA"/>
    <x v="0"/>
    <n v="20000"/>
    <n v="3.4482758620689655E-2"/>
    <n v="20000"/>
    <n v="0"/>
    <n v="0"/>
  </r>
  <r>
    <s v="MONTANA"/>
    <x v="4"/>
    <n v="10000"/>
    <n v="1.7241379310344827E-2"/>
    <n v="5064.28"/>
    <n v="4935.72"/>
    <n v="4935.72"/>
  </r>
  <r>
    <s v="OREGON"/>
    <x v="1"/>
    <n v="25000"/>
    <n v="4.3103448275862072E-2"/>
    <n v="25000"/>
    <n v="0"/>
    <m/>
  </r>
  <r>
    <s v="TEXAS"/>
    <x v="0"/>
    <n v="75000"/>
    <n v="0.12931034482758622"/>
    <n v="62660.63"/>
    <n v="12339.370000000003"/>
    <n v="12339.3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s v="70"/>
    <m/>
    <m/>
    <m/>
    <s v="        19-Research"/>
    <n v="321.26"/>
    <n v="321.26"/>
    <n v="0"/>
  </r>
  <r>
    <x v="1"/>
    <s v=""/>
    <s v=""/>
    <s v=""/>
    <s v=""/>
    <s v=""/>
    <n v="321.26"/>
    <n v="321.26"/>
    <n v="0"/>
  </r>
  <r>
    <x v="2"/>
    <s v="70"/>
    <m/>
    <m/>
    <m/>
    <s v="        19-Research"/>
    <n v="9248.36"/>
    <n v="9248.36"/>
    <n v="0"/>
  </r>
  <r>
    <x v="1"/>
    <s v=""/>
    <s v=""/>
    <s v=""/>
    <s v=""/>
    <s v=""/>
    <n v="9248.36"/>
    <n v="9248.36"/>
    <n v="0"/>
  </r>
  <r>
    <x v="3"/>
    <s v="70"/>
    <m/>
    <m/>
    <m/>
    <s v="        19-Research"/>
    <n v="1579.88"/>
    <n v="1579.88"/>
    <n v="0"/>
  </r>
  <r>
    <x v="1"/>
    <s v=""/>
    <s v=""/>
    <s v=""/>
    <s v=""/>
    <s v=""/>
    <n v="1579.88"/>
    <n v="1579.88"/>
    <n v="0"/>
  </r>
  <r>
    <x v="4"/>
    <s v="70"/>
    <m/>
    <m/>
    <m/>
    <s v="        19-Research"/>
    <n v="162660.63"/>
    <n v="162660.63"/>
    <n v="0"/>
  </r>
  <r>
    <x v="1"/>
    <s v=""/>
    <s v=""/>
    <s v=""/>
    <s v=""/>
    <s v=""/>
    <n v="162660.63"/>
    <n v="162660.63"/>
    <n v="0"/>
  </r>
  <r>
    <x v="5"/>
    <s v="70"/>
    <m/>
    <m/>
    <m/>
    <s v="        19-Research"/>
    <n v="25000"/>
    <n v="25000"/>
    <n v="0"/>
  </r>
  <r>
    <x v="1"/>
    <s v=""/>
    <s v=""/>
    <s v=""/>
    <s v=""/>
    <s v=""/>
    <n v="25000"/>
    <n v="25000"/>
    <n v="0"/>
  </r>
  <r>
    <x v="6"/>
    <s v="70"/>
    <m/>
    <m/>
    <m/>
    <s v="        19-Research"/>
    <n v="10321.26"/>
    <n v="10321.26"/>
    <n v="0"/>
  </r>
  <r>
    <x v="6"/>
    <s v="71"/>
    <m/>
    <m/>
    <m/>
    <s v="        19-Research"/>
    <n v="25000"/>
    <n v="25000"/>
    <n v="0"/>
  </r>
  <r>
    <x v="6"/>
    <s v="72"/>
    <m/>
    <m/>
    <m/>
    <s v="        19-Research"/>
    <n v="75000"/>
    <n v="75000"/>
    <n v="0"/>
  </r>
  <r>
    <x v="6"/>
    <s v="73"/>
    <m/>
    <m/>
    <m/>
    <s v="        19-Research"/>
    <n v="100000"/>
    <n v="100000"/>
    <n v="0"/>
  </r>
  <r>
    <x v="6"/>
    <s v="74"/>
    <m/>
    <m/>
    <m/>
    <s v="        19-Research"/>
    <n v="25000"/>
    <n v="25000"/>
    <n v="0"/>
  </r>
  <r>
    <x v="6"/>
    <s v="75"/>
    <m/>
    <m/>
    <m/>
    <s v="        19-Research"/>
    <n v="25000"/>
    <n v="25000"/>
    <n v="0"/>
  </r>
  <r>
    <x v="6"/>
    <s v="76"/>
    <m/>
    <m/>
    <m/>
    <s v="        19-Research"/>
    <n v="20064.25"/>
    <n v="10000"/>
    <n v="0"/>
  </r>
  <r>
    <x v="1"/>
    <s v=""/>
    <s v=""/>
    <s v=""/>
    <s v=""/>
    <s v=""/>
    <n v="280385.51"/>
    <n v="270321.26"/>
    <n v="0"/>
  </r>
  <r>
    <x v="7"/>
    <s v="70"/>
    <m/>
    <m/>
    <m/>
    <s v="        19-Research"/>
    <n v="21838"/>
    <n v="21838"/>
    <n v="0"/>
  </r>
  <r>
    <x v="1"/>
    <s v=""/>
    <s v=""/>
    <s v=""/>
    <s v=""/>
    <s v=""/>
    <n v="21838"/>
    <n v="21838"/>
    <n v="0"/>
  </r>
  <r>
    <x v="8"/>
    <s v="70"/>
    <m/>
    <m/>
    <m/>
    <s v="        19-Research"/>
    <n v="4492.3500000000004"/>
    <n v="4492.3500000000004"/>
    <n v="0"/>
  </r>
  <r>
    <x v="1"/>
    <s v=""/>
    <s v=""/>
    <s v=""/>
    <s v=""/>
    <s v=""/>
    <n v="4492.3500000000004"/>
    <n v="4492.3500000000004"/>
    <n v="0"/>
  </r>
  <r>
    <x v="9"/>
    <s v="70"/>
    <m/>
    <m/>
    <m/>
    <s v="        19-Research"/>
    <n v="21208.12"/>
    <n v="21208.12"/>
    <n v="0"/>
  </r>
  <r>
    <x v="1"/>
    <s v=""/>
    <s v=""/>
    <s v=""/>
    <s v=""/>
    <s v=""/>
    <n v="21208.12"/>
    <n v="21208.12"/>
    <n v="0"/>
  </r>
  <r>
    <x v="10"/>
    <s v="70"/>
    <m/>
    <m/>
    <m/>
    <s v="        19-Research"/>
    <n v="25000"/>
    <n v="25000"/>
    <n v="0"/>
  </r>
  <r>
    <x v="1"/>
    <s v=""/>
    <s v=""/>
    <s v=""/>
    <s v=""/>
    <s v=""/>
    <n v="25000"/>
    <n v="25000"/>
    <n v="0"/>
  </r>
  <r>
    <x v="11"/>
    <s v="70"/>
    <m/>
    <m/>
    <m/>
    <s v="        19-Research"/>
    <n v="140257.01"/>
    <n v="140257.01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s v="FHWA"/>
    <x v="0"/>
    <n v="25000"/>
    <n v="28791.87"/>
    <s v="Deallocated"/>
  </r>
  <r>
    <s v="FHWA"/>
    <x v="1"/>
    <n v="25000"/>
    <n v="0"/>
    <s v="Deallocated"/>
  </r>
  <r>
    <s v="FHWA"/>
    <x v="2"/>
    <n v="100000"/>
    <n v="0"/>
    <s v="Deallocated"/>
  </r>
  <r>
    <s v="SHRP2 (FHWA)"/>
    <x v="3"/>
    <n v="5377"/>
    <n v="0"/>
    <s v="Deallocated"/>
  </r>
  <r>
    <s v="SHRP2 (FHWA)"/>
    <x v="4"/>
    <n v="1891"/>
    <n v="1195.77"/>
    <s v="Deallocated"/>
  </r>
  <r>
    <s v="OREGON (SHRP2)"/>
    <x v="5"/>
    <n v="15992.68"/>
    <n v="6744.32"/>
    <s v="Deallocated"/>
  </r>
  <r>
    <s v="NEW JERSEY"/>
    <x v="2"/>
    <n v="75000"/>
    <n v="12339.37"/>
    <s v="Deallocat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343C35-2DAE-4B2A-AFBD-96052D8C1C65}" name="PivotTable3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13:D20" firstHeaderRow="0" firstDataRow="1" firstDataCol="1"/>
  <pivotFields count="5">
    <pivotField showAll="0"/>
    <pivotField axis="axisRow" showAll="0">
      <items count="7">
        <item x="5"/>
        <item x="4"/>
        <item x="2"/>
        <item x="3"/>
        <item x="0"/>
        <item x="1"/>
        <item t="default"/>
      </items>
    </pivotField>
    <pivotField dataField="1" showAll="0"/>
    <pivotField dataField="1" numFmtId="44" showAll="0"/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Other Funds" fld="2" baseField="1" baseItem="3" numFmtId="44"/>
    <dataField name="Sum of Remaining Funds" fld="3" baseField="1" baseItem="3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D9333F-C743-4F4E-97D5-E8322DE8B260}" name="PivotTable2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10" firstHeaderRow="0" firstDataRow="1" firstDataCol="1"/>
  <pivotFields count="7">
    <pivotField showAll="0"/>
    <pivotField axis="axisRow" showAll="0">
      <items count="7">
        <item x="3"/>
        <item x="5"/>
        <item x="0"/>
        <item x="4"/>
        <item x="2"/>
        <item x="1"/>
        <item t="default"/>
      </items>
    </pivotField>
    <pivotField dataField="1" numFmtId="43" showAll="0"/>
    <pivotField showAll="0"/>
    <pivotField dataField="1" numFmtId="43" showAll="0"/>
    <pivotField dataField="1" showAll="0"/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Obligation" fld="2" baseField="1" baseItem="0" numFmtId="44"/>
    <dataField name="Sum of Total Expenditures" fld="4" baseField="1" baseItem="0" numFmtId="44"/>
    <dataField name="Sum of Remaing Project Funds" fld="5" baseField="1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D3B345-3B1F-4BAF-8456-4095F74570FF}" name="PivotTable4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3:I16" firstHeaderRow="1" firstDataRow="1" firstDataCol="1"/>
  <pivotFields count="9">
    <pivotField axis="axisRow" showAll="0">
      <items count="13">
        <item x="1"/>
        <item x="0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dataField="1" numFmtId="164" showAll="0"/>
    <pivotField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TotalCost" fld="6" baseField="0" baseItem="2" numFmtId="44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440996-92BB-4CD0-B3D8-C44E9379C5AB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6" firstHeaderRow="1" firstDataRow="1" firstDataCol="1"/>
  <pivotFields count="9">
    <pivotField axis="axisRow" showAll="0">
      <items count="13">
        <item x="1"/>
        <item x="0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dataField="1" numFmtId="164" showAll="0"/>
    <pivotField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TotalCost" fld="6" baseField="0" baseItem="2" numFmtId="44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D14638-B3F5-499C-BCC9-D9EB7DA273F1}" name="Table1" displayName="Table1" ref="A2:I29" totalsRowShown="0" headerRowDxfId="6">
  <autoFilter ref="A2:I29" xr:uid="{A0DF7DBF-3BD0-45BA-B430-005659B14ECC}"/>
  <tableColumns count="9">
    <tableColumn id="1" xr3:uid="{B5ADF9F9-66FB-4C5C-B6BE-DBEE7C559160}" name="ProgramCode"/>
    <tableColumn id="2" xr3:uid="{F58F0B28-1B78-465B-91CD-B982E261D7A4}" name="DetailNumber"/>
    <tableColumn id="3" xr3:uid="{A393B65D-F864-4B66-8CBA-1C6E34ECE3FC}" name="DemoId"/>
    <tableColumn id="4" xr3:uid="{F555D8FF-DC16-4881-8D31-6113C1C1C985}" name="PurposeId"/>
    <tableColumn id="5" xr3:uid="{5649FB98-94C8-4D77-AE96-BEE3B09D58C9}" name="GrantNumber" dataDxfId="5"/>
    <tableColumn id="6" xr3:uid="{C630A0F0-13C5-473A-8E10-4D505CF2AC7D}" name="ImprovementType" dataDxfId="4"/>
    <tableColumn id="7" xr3:uid="{AFC7D52E-0C43-4FEE-9BA8-370A514DB356}" name="TotalCost" dataDxfId="3"/>
    <tableColumn id="8" xr3:uid="{D5D1A621-D572-43B6-8347-6E04ED7803AF}" name="FederalFunds"/>
    <tableColumn id="9" xr3:uid="{BE5D5C6B-B03B-48CC-9FC2-A1B0FD23EABA}" name="AdvanceConstruction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zoomScale="110" zoomScaleNormal="110" workbookViewId="0">
      <selection activeCell="D2" sqref="D2"/>
    </sheetView>
  </sheetViews>
  <sheetFormatPr defaultColWidth="9.140625" defaultRowHeight="15" x14ac:dyDescent="0.25"/>
  <cols>
    <col min="1" max="1" width="23.7109375" style="4" customWidth="1"/>
    <col min="2" max="2" width="12.28515625" style="4" customWidth="1"/>
    <col min="3" max="3" width="14.140625" style="4" customWidth="1"/>
    <col min="4" max="4" width="17" style="4" customWidth="1"/>
    <col min="5" max="5" width="17.42578125" style="4" customWidth="1"/>
    <col min="6" max="6" width="14.28515625" style="4" customWidth="1"/>
    <col min="7" max="7" width="19.140625" style="4" customWidth="1"/>
    <col min="8" max="14" width="9.140625" style="4"/>
    <col min="15" max="15" width="17.42578125" style="4" customWidth="1"/>
    <col min="16" max="16384" width="9.140625" style="4"/>
  </cols>
  <sheetData>
    <row r="1" spans="1:7" x14ac:dyDescent="0.25">
      <c r="A1" s="30" t="s">
        <v>9</v>
      </c>
      <c r="B1" s="1"/>
      <c r="C1" s="2"/>
      <c r="D1" s="3"/>
      <c r="E1" s="2"/>
      <c r="F1" s="2"/>
      <c r="G1" s="2"/>
    </row>
    <row r="2" spans="1:7" x14ac:dyDescent="0.25">
      <c r="A2" s="30" t="s">
        <v>10</v>
      </c>
      <c r="B2" s="5"/>
      <c r="C2" s="7"/>
      <c r="D2" s="8"/>
      <c r="E2" s="2"/>
      <c r="F2" s="9"/>
      <c r="G2" s="9"/>
    </row>
    <row r="3" spans="1:7" x14ac:dyDescent="0.25">
      <c r="A3" s="41"/>
      <c r="B3" s="5"/>
      <c r="C3" s="6"/>
      <c r="D3" s="8"/>
      <c r="E3" s="2"/>
      <c r="F3" s="9"/>
      <c r="G3" s="9"/>
    </row>
    <row r="4" spans="1:7" x14ac:dyDescent="0.25">
      <c r="A4" s="2"/>
      <c r="B4" s="5"/>
      <c r="C4" s="6"/>
      <c r="D4" s="8"/>
      <c r="E4" s="2"/>
      <c r="F4" s="9"/>
      <c r="G4" s="9"/>
    </row>
    <row r="5" spans="1:7" x14ac:dyDescent="0.25">
      <c r="A5" s="11"/>
      <c r="B5" s="5"/>
      <c r="C5" s="7"/>
      <c r="D5" s="8"/>
      <c r="E5" s="12"/>
      <c r="F5" s="12"/>
      <c r="G5" s="12"/>
    </row>
    <row r="6" spans="1:7" ht="15.75" customHeight="1" thickBot="1" x14ac:dyDescent="0.3">
      <c r="A6" s="10" t="s">
        <v>0</v>
      </c>
      <c r="B6" s="13"/>
      <c r="C6" s="3"/>
      <c r="D6" s="3"/>
      <c r="E6" s="14"/>
      <c r="F6" s="5"/>
      <c r="G6" s="5"/>
    </row>
    <row r="7" spans="1:7" ht="42.75" customHeight="1" thickBot="1" x14ac:dyDescent="0.3">
      <c r="A7" s="52" t="s">
        <v>29</v>
      </c>
      <c r="B7" s="53" t="s">
        <v>28</v>
      </c>
      <c r="C7" s="53" t="s">
        <v>12</v>
      </c>
      <c r="D7" s="53" t="s">
        <v>1</v>
      </c>
      <c r="E7" s="54" t="s">
        <v>8</v>
      </c>
      <c r="F7" s="53" t="s">
        <v>5</v>
      </c>
      <c r="G7" s="55" t="s">
        <v>6</v>
      </c>
    </row>
    <row r="8" spans="1:7" x14ac:dyDescent="0.25">
      <c r="A8" s="35" t="s">
        <v>11</v>
      </c>
      <c r="B8" s="31" t="s">
        <v>4</v>
      </c>
      <c r="C8" s="27">
        <v>75000</v>
      </c>
      <c r="D8" s="16">
        <f>C8/$C$21</f>
        <v>0.12931034482758622</v>
      </c>
      <c r="E8" s="27">
        <v>75000</v>
      </c>
      <c r="F8" s="15"/>
      <c r="G8" s="15"/>
    </row>
    <row r="9" spans="1:7" ht="17.25" customHeight="1" x14ac:dyDescent="0.25">
      <c r="A9" s="17" t="s">
        <v>11</v>
      </c>
      <c r="B9" s="19" t="s">
        <v>13</v>
      </c>
      <c r="C9" s="28">
        <v>85000</v>
      </c>
      <c r="D9" s="16">
        <f>C9/$C$21</f>
        <v>0.14655172413793102</v>
      </c>
      <c r="E9" s="28">
        <v>60321.31</v>
      </c>
      <c r="F9" s="39">
        <v>24678.69</v>
      </c>
      <c r="G9" s="15">
        <v>24678.69</v>
      </c>
    </row>
    <row r="10" spans="1:7" ht="17.25" customHeight="1" x14ac:dyDescent="0.25">
      <c r="A10" s="17" t="s">
        <v>11</v>
      </c>
      <c r="B10" s="19" t="s">
        <v>34</v>
      </c>
      <c r="C10" s="28">
        <v>15000</v>
      </c>
      <c r="D10" s="16"/>
      <c r="E10" s="28">
        <v>15000</v>
      </c>
      <c r="F10" s="18"/>
      <c r="G10" s="15"/>
    </row>
    <row r="11" spans="1:7" x14ac:dyDescent="0.25">
      <c r="A11" s="17" t="s">
        <v>18</v>
      </c>
      <c r="B11" s="34" t="s">
        <v>19</v>
      </c>
      <c r="C11" s="28">
        <v>25000</v>
      </c>
      <c r="D11" s="16">
        <f t="shared" ref="D11:D20" si="0">C11/$C$21</f>
        <v>4.3103448275862072E-2</v>
      </c>
      <c r="E11" s="28">
        <v>321.26</v>
      </c>
      <c r="F11" s="18">
        <f>C11-E11</f>
        <v>24678.74</v>
      </c>
      <c r="G11" s="18">
        <v>24678.74</v>
      </c>
    </row>
    <row r="12" spans="1:7" x14ac:dyDescent="0.25">
      <c r="A12" s="17" t="s">
        <v>18</v>
      </c>
      <c r="B12" s="33" t="s">
        <v>4</v>
      </c>
      <c r="C12" s="28">
        <v>50000</v>
      </c>
      <c r="D12" s="16">
        <f t="shared" si="0"/>
        <v>8.6206896551724144E-2</v>
      </c>
      <c r="E12" s="28">
        <v>50000</v>
      </c>
      <c r="F12" s="18"/>
      <c r="G12" s="18"/>
    </row>
    <row r="13" spans="1:7" x14ac:dyDescent="0.25">
      <c r="A13" s="17" t="s">
        <v>18</v>
      </c>
      <c r="B13" s="33" t="s">
        <v>13</v>
      </c>
      <c r="C13" s="28">
        <v>75000</v>
      </c>
      <c r="D13" s="16">
        <f t="shared" si="0"/>
        <v>0.12931034482758622</v>
      </c>
      <c r="E13" s="28">
        <v>75000</v>
      </c>
      <c r="F13" s="18"/>
      <c r="G13" s="18"/>
    </row>
    <row r="14" spans="1:7" x14ac:dyDescent="0.25">
      <c r="A14" s="17" t="s">
        <v>18</v>
      </c>
      <c r="B14" s="33" t="s">
        <v>20</v>
      </c>
      <c r="C14" s="28">
        <v>25000</v>
      </c>
      <c r="D14" s="16">
        <f t="shared" si="0"/>
        <v>4.3103448275862072E-2</v>
      </c>
      <c r="E14" s="28">
        <v>25000</v>
      </c>
      <c r="F14" s="18"/>
      <c r="G14" s="18"/>
    </row>
    <row r="15" spans="1:7" x14ac:dyDescent="0.25">
      <c r="A15" s="17" t="s">
        <v>21</v>
      </c>
      <c r="B15" s="33" t="s">
        <v>4</v>
      </c>
      <c r="C15" s="28">
        <v>75000</v>
      </c>
      <c r="D15" s="16">
        <f t="shared" si="0"/>
        <v>0.12931034482758622</v>
      </c>
      <c r="E15" s="28">
        <v>62660.63</v>
      </c>
      <c r="F15" s="18">
        <f>C15-E15</f>
        <v>12339.370000000003</v>
      </c>
      <c r="G15" s="18">
        <v>12339.370000000003</v>
      </c>
    </row>
    <row r="16" spans="1:7" x14ac:dyDescent="0.25">
      <c r="A16" s="17" t="s">
        <v>22</v>
      </c>
      <c r="B16" s="33" t="s">
        <v>23</v>
      </c>
      <c r="C16" s="28">
        <v>25000</v>
      </c>
      <c r="D16" s="16">
        <f t="shared" si="0"/>
        <v>4.3103448275862072E-2</v>
      </c>
      <c r="E16" s="28">
        <v>16773.75</v>
      </c>
      <c r="F16" s="18">
        <v>8226.25</v>
      </c>
      <c r="G16" s="18">
        <v>8226.25</v>
      </c>
    </row>
    <row r="17" spans="1:16" x14ac:dyDescent="0.25">
      <c r="A17" s="17" t="s">
        <v>2</v>
      </c>
      <c r="B17" s="33" t="s">
        <v>4</v>
      </c>
      <c r="C17" s="28">
        <v>20000</v>
      </c>
      <c r="D17" s="16">
        <f t="shared" si="0"/>
        <v>3.4482758620689655E-2</v>
      </c>
      <c r="E17" s="28">
        <v>20000</v>
      </c>
      <c r="F17" s="18"/>
      <c r="G17" s="18"/>
    </row>
    <row r="18" spans="1:16" x14ac:dyDescent="0.25">
      <c r="A18" s="17" t="s">
        <v>2</v>
      </c>
      <c r="B18" s="33" t="s">
        <v>20</v>
      </c>
      <c r="C18" s="28">
        <v>10000</v>
      </c>
      <c r="D18" s="16">
        <f t="shared" si="0"/>
        <v>1.7241379310344827E-2</v>
      </c>
      <c r="E18" s="28">
        <v>5064.28</v>
      </c>
      <c r="F18" s="18">
        <v>4935.72</v>
      </c>
      <c r="G18" s="18">
        <v>4935.72</v>
      </c>
    </row>
    <row r="19" spans="1:16" x14ac:dyDescent="0.25">
      <c r="A19" s="17" t="s">
        <v>24</v>
      </c>
      <c r="B19" s="19" t="s">
        <v>13</v>
      </c>
      <c r="C19" s="28">
        <v>25000</v>
      </c>
      <c r="D19" s="16">
        <f t="shared" si="0"/>
        <v>4.3103448275862072E-2</v>
      </c>
      <c r="E19" s="28">
        <v>25000</v>
      </c>
      <c r="F19" s="18"/>
      <c r="G19" s="18"/>
      <c r="H19" s="36"/>
      <c r="I19" s="36"/>
      <c r="J19" s="36"/>
      <c r="K19" s="36"/>
      <c r="L19" s="36"/>
      <c r="M19" s="36"/>
      <c r="N19" s="36"/>
      <c r="O19" s="37"/>
      <c r="P19" s="38"/>
    </row>
    <row r="20" spans="1:16" x14ac:dyDescent="0.25">
      <c r="A20" s="17" t="s">
        <v>25</v>
      </c>
      <c r="B20" s="32" t="s">
        <v>4</v>
      </c>
      <c r="C20" s="28">
        <v>75000</v>
      </c>
      <c r="D20" s="16">
        <f t="shared" si="0"/>
        <v>0.12931034482758622</v>
      </c>
      <c r="E20" s="28">
        <v>62660.63</v>
      </c>
      <c r="F20" s="18">
        <f>C20-E20</f>
        <v>12339.370000000003</v>
      </c>
      <c r="G20" s="18">
        <v>12339.370000000003</v>
      </c>
      <c r="H20" s="36"/>
      <c r="I20" s="36"/>
      <c r="J20" s="36"/>
      <c r="K20" s="36"/>
      <c r="L20" s="36"/>
      <c r="M20" s="36"/>
      <c r="N20" s="36"/>
      <c r="O20" s="36"/>
      <c r="P20" s="36"/>
    </row>
    <row r="21" spans="1:16" x14ac:dyDescent="0.25">
      <c r="A21" s="26" t="s">
        <v>7</v>
      </c>
      <c r="B21" s="20"/>
      <c r="C21" s="22">
        <f>SUM(C8:C20)</f>
        <v>580000</v>
      </c>
      <c r="D21" s="21">
        <f>SUM(D8:D20)</f>
        <v>0.97413793103448287</v>
      </c>
      <c r="E21" s="22">
        <f>SUM(E8:E20)</f>
        <v>492801.86000000004</v>
      </c>
      <c r="F21" s="22">
        <f>SUM(F8:F20)</f>
        <v>87198.140000000014</v>
      </c>
      <c r="G21" s="29">
        <f>SUM(G8:G20)</f>
        <v>87198.140000000014</v>
      </c>
      <c r="H21" s="36"/>
      <c r="I21" s="36"/>
      <c r="J21" s="36"/>
      <c r="K21" s="36"/>
      <c r="L21" s="36"/>
      <c r="M21" s="36"/>
      <c r="N21" s="36"/>
      <c r="O21" s="36"/>
      <c r="P21" s="36"/>
    </row>
    <row r="22" spans="1:16" x14ac:dyDescent="0.25">
      <c r="A22" s="23" t="s">
        <v>72</v>
      </c>
      <c r="B22" s="13"/>
      <c r="C22" s="2"/>
      <c r="D22" s="3"/>
      <c r="E22" s="2"/>
      <c r="F22" s="40"/>
      <c r="G22" s="2"/>
    </row>
    <row r="23" spans="1:16" s="2" customFormat="1" x14ac:dyDescent="0.25">
      <c r="A23" s="6"/>
      <c r="B23" s="24"/>
      <c r="C23" s="24"/>
      <c r="D23" s="24"/>
      <c r="F23" s="25"/>
      <c r="G23" s="25"/>
    </row>
    <row r="24" spans="1:16" s="2" customFormat="1" ht="45" x14ac:dyDescent="0.25">
      <c r="A24" s="46" t="s">
        <v>31</v>
      </c>
      <c r="B24" s="46" t="s">
        <v>32</v>
      </c>
      <c r="C24" s="46" t="s">
        <v>33</v>
      </c>
      <c r="D24" s="44" t="s">
        <v>40</v>
      </c>
      <c r="E24" s="45" t="s">
        <v>41</v>
      </c>
    </row>
    <row r="25" spans="1:16" x14ac:dyDescent="0.25">
      <c r="A25" s="33" t="s">
        <v>14</v>
      </c>
      <c r="B25" s="19" t="s">
        <v>15</v>
      </c>
      <c r="C25" s="47">
        <v>28791.88</v>
      </c>
      <c r="D25" s="48">
        <v>28791.88</v>
      </c>
      <c r="E25" s="47" t="s">
        <v>35</v>
      </c>
      <c r="F25" s="42"/>
      <c r="G25" s="42"/>
      <c r="H25" s="2"/>
      <c r="I25" s="2"/>
      <c r="J25" s="2"/>
      <c r="K25" s="2"/>
      <c r="O25" s="4" t="s">
        <v>38</v>
      </c>
    </row>
    <row r="26" spans="1:16" x14ac:dyDescent="0.25">
      <c r="A26" s="33" t="s">
        <v>14</v>
      </c>
      <c r="B26" s="33" t="s">
        <v>16</v>
      </c>
      <c r="C26" s="47">
        <v>25000</v>
      </c>
      <c r="D26" s="48">
        <v>0</v>
      </c>
      <c r="E26" s="47" t="s">
        <v>35</v>
      </c>
      <c r="F26" s="42"/>
      <c r="G26" s="42"/>
      <c r="H26" s="2"/>
      <c r="I26" s="2"/>
      <c r="J26" s="2"/>
      <c r="K26" s="2"/>
    </row>
    <row r="27" spans="1:16" x14ac:dyDescent="0.25">
      <c r="A27" s="33" t="s">
        <v>14</v>
      </c>
      <c r="B27" s="33" t="s">
        <v>17</v>
      </c>
      <c r="C27" s="47">
        <v>100000</v>
      </c>
      <c r="D27" s="48">
        <v>0</v>
      </c>
      <c r="E27" s="47" t="s">
        <v>35</v>
      </c>
      <c r="F27" s="42"/>
      <c r="G27" s="42"/>
      <c r="H27" s="2"/>
      <c r="I27" s="2"/>
      <c r="J27" s="2"/>
      <c r="K27" s="2"/>
    </row>
    <row r="28" spans="1:16" x14ac:dyDescent="0.25">
      <c r="A28" s="33" t="s">
        <v>26</v>
      </c>
      <c r="B28" s="19" t="s">
        <v>27</v>
      </c>
      <c r="C28" s="49">
        <v>5377</v>
      </c>
      <c r="D28" s="48">
        <v>0</v>
      </c>
      <c r="E28" s="49" t="s">
        <v>35</v>
      </c>
      <c r="F28" s="42"/>
      <c r="G28" s="42"/>
      <c r="H28" s="2"/>
      <c r="I28" s="2"/>
      <c r="J28" s="2"/>
      <c r="K28" s="2"/>
    </row>
    <row r="29" spans="1:16" x14ac:dyDescent="0.25">
      <c r="A29" s="33" t="s">
        <v>26</v>
      </c>
      <c r="B29" s="19" t="s">
        <v>30</v>
      </c>
      <c r="C29" s="49">
        <v>1891</v>
      </c>
      <c r="D29" s="48">
        <v>1195.77</v>
      </c>
      <c r="E29" s="49" t="s">
        <v>35</v>
      </c>
      <c r="F29" s="42"/>
      <c r="G29" s="42"/>
      <c r="H29" s="2"/>
      <c r="I29" s="2"/>
      <c r="J29" s="2"/>
      <c r="K29" s="2"/>
    </row>
    <row r="30" spans="1:16" x14ac:dyDescent="0.25">
      <c r="A30" s="33" t="s">
        <v>37</v>
      </c>
      <c r="B30" s="19" t="s">
        <v>36</v>
      </c>
      <c r="C30" s="47">
        <v>15992.68</v>
      </c>
      <c r="D30" s="48">
        <v>6744.32</v>
      </c>
      <c r="E30" s="47" t="s">
        <v>35</v>
      </c>
      <c r="F30" s="42"/>
      <c r="G30" s="42"/>
      <c r="H30" s="2"/>
      <c r="I30" s="2"/>
      <c r="J30" s="2"/>
      <c r="K30" s="2"/>
    </row>
    <row r="31" spans="1:16" x14ac:dyDescent="0.25">
      <c r="A31" s="33" t="s">
        <v>3</v>
      </c>
      <c r="B31" s="19" t="s">
        <v>17</v>
      </c>
      <c r="C31" s="47">
        <v>75000</v>
      </c>
      <c r="D31" s="48">
        <v>12339.37</v>
      </c>
      <c r="E31" s="47" t="s">
        <v>35</v>
      </c>
      <c r="F31" s="42"/>
      <c r="G31" s="43"/>
    </row>
    <row r="32" spans="1:16" x14ac:dyDescent="0.25">
      <c r="A32" s="33" t="s">
        <v>39</v>
      </c>
      <c r="B32" s="19"/>
      <c r="C32" s="50">
        <f>SUM(C25:C31)</f>
        <v>252052.56</v>
      </c>
      <c r="D32" s="51">
        <f>SUM(D25:D31)</f>
        <v>49071.340000000004</v>
      </c>
      <c r="E32" s="19"/>
      <c r="F32" s="43"/>
      <c r="G32" s="43"/>
    </row>
  </sheetData>
  <autoFilter ref="A7:G22" xr:uid="{00000000-0001-0000-0000-000000000000}"/>
  <phoneticPr fontId="5" type="noConversion"/>
  <conditionalFormatting sqref="B1:B1048576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6C56F-7DE0-402A-8C7B-98550D7EBEED}">
  <dimension ref="A3:J20"/>
  <sheetViews>
    <sheetView topLeftCell="A4" workbookViewId="0">
      <selection activeCell="G26" sqref="G26"/>
    </sheetView>
  </sheetViews>
  <sheetFormatPr defaultRowHeight="15" x14ac:dyDescent="0.25"/>
  <cols>
    <col min="1" max="1" width="13.140625" bestFit="1" customWidth="1"/>
    <col min="2" max="2" width="17" bestFit="1" customWidth="1"/>
    <col min="3" max="3" width="24.5703125" bestFit="1" customWidth="1"/>
    <col min="4" max="4" width="28.28515625" bestFit="1" customWidth="1"/>
    <col min="5" max="5" width="12.5703125" style="58" bestFit="1" customWidth="1"/>
    <col min="8" max="8" width="13.140625" bestFit="1" customWidth="1"/>
    <col min="9" max="9" width="18.7109375" bestFit="1" customWidth="1"/>
    <col min="10" max="10" width="23.140625" bestFit="1" customWidth="1"/>
  </cols>
  <sheetData>
    <row r="3" spans="1:10" x14ac:dyDescent="0.25">
      <c r="A3" s="56" t="s">
        <v>42</v>
      </c>
      <c r="B3" t="s">
        <v>44</v>
      </c>
      <c r="C3" t="s">
        <v>45</v>
      </c>
      <c r="D3" t="s">
        <v>46</v>
      </c>
      <c r="H3" s="69" t="s">
        <v>42</v>
      </c>
      <c r="I3" s="62" t="s">
        <v>69</v>
      </c>
    </row>
    <row r="4" spans="1:10" x14ac:dyDescent="0.25">
      <c r="A4" s="57" t="s">
        <v>19</v>
      </c>
      <c r="B4" s="58">
        <v>25000</v>
      </c>
      <c r="C4" s="58">
        <v>321.26</v>
      </c>
      <c r="D4" s="58">
        <v>24678.74</v>
      </c>
      <c r="E4" s="58">
        <f>GETPIVOTDATA("Sum of Obligation",$A$3,"Program Code","0860")-GETPIVOTDATA("Sum of Total Expenditures",$A$3,"Program Code","0860")</f>
        <v>24678.74</v>
      </c>
      <c r="F4" t="b">
        <f>GETPIVOTDATA("Sum of Remaing Project Funds",$A$3,"Program Code","0860")=E4</f>
        <v>1</v>
      </c>
      <c r="H4" s="63"/>
      <c r="I4" s="64">
        <v>551734.11</v>
      </c>
    </row>
    <row r="5" spans="1:10" x14ac:dyDescent="0.25">
      <c r="A5" s="57" t="s">
        <v>23</v>
      </c>
      <c r="B5" s="58">
        <v>25000</v>
      </c>
      <c r="C5" s="58">
        <v>16773.75</v>
      </c>
      <c r="D5" s="58">
        <v>8226.25</v>
      </c>
      <c r="E5" s="58">
        <f>GETPIVOTDATA("Sum of Obligation",$A$3,"Program Code","L560")-GETPIVOTDATA("Sum of Total Expenditures",$A$3,"Program Code","L560")</f>
        <v>8226.25</v>
      </c>
      <c r="F5" t="b">
        <f t="shared" ref="F5:F9" si="0">GETPIVOTDATA("Sum of Remaing Project Funds",$A$3,"Program Code","0860")=E5</f>
        <v>0</v>
      </c>
      <c r="H5" s="65" t="s">
        <v>19</v>
      </c>
      <c r="I5" s="66">
        <v>321.26</v>
      </c>
      <c r="J5" t="b">
        <f>GETPIVOTDATA("TotalCost",$H$3,"ProgramCode","0860")=GETPIVOTDATA("Sum of Total Expenditures",$A$3,"Program Code","0860")</f>
        <v>1</v>
      </c>
    </row>
    <row r="6" spans="1:10" x14ac:dyDescent="0.25">
      <c r="A6" s="57" t="s">
        <v>4</v>
      </c>
      <c r="B6" s="58">
        <v>295000</v>
      </c>
      <c r="C6" s="58">
        <v>270321.26</v>
      </c>
      <c r="D6" s="58">
        <v>24678.740000000005</v>
      </c>
      <c r="E6" s="58">
        <f>GETPIVOTDATA("Sum of Obligation",$A$3,"Program Code","L56E")-GETPIVOTDATA("Sum of Total Expenditures",$A$3,"Program Code","L56E")</f>
        <v>24678.739999999991</v>
      </c>
      <c r="F6" t="b">
        <f t="shared" si="0"/>
        <v>1</v>
      </c>
      <c r="H6" s="65" t="s">
        <v>62</v>
      </c>
      <c r="I6" s="66">
        <v>9248.36</v>
      </c>
      <c r="J6" t="b">
        <f>E14=GETPIVOTDATA("TotalCost",$H$3,"ProgramCode","38TE")</f>
        <v>1</v>
      </c>
    </row>
    <row r="7" spans="1:10" x14ac:dyDescent="0.25">
      <c r="A7" s="57" t="s">
        <v>20</v>
      </c>
      <c r="B7" s="58">
        <v>35000</v>
      </c>
      <c r="C7" s="58">
        <v>30064.28</v>
      </c>
      <c r="D7" s="58">
        <v>4935.72</v>
      </c>
      <c r="E7" s="58">
        <f>GETPIVOTDATA("Sum of Obligation",$A$3,"Program Code","M560")-GETPIVOTDATA("Sum of Total Expenditures",$A$3,"Program Code","M560")</f>
        <v>4935.7200000000012</v>
      </c>
      <c r="F7" t="b">
        <f t="shared" si="0"/>
        <v>0</v>
      </c>
      <c r="H7" s="65" t="s">
        <v>30</v>
      </c>
      <c r="I7" s="66">
        <v>1579.88</v>
      </c>
      <c r="J7" t="b">
        <f>GETPIVOTDATA("TotalCost",$H$3,"ProgramCode","41TE")=E15</f>
        <v>0</v>
      </c>
    </row>
    <row r="8" spans="1:10" x14ac:dyDescent="0.25">
      <c r="A8" s="57" t="s">
        <v>34</v>
      </c>
      <c r="B8" s="58">
        <v>15000</v>
      </c>
      <c r="C8" s="58">
        <v>15000</v>
      </c>
      <c r="D8" s="58">
        <v>0</v>
      </c>
      <c r="E8" s="58">
        <f>GETPIVOTDATA("Sum of Obligation",$A$3,"Program Code","State Funds")-GETPIVOTDATA("Sum of Total Expenditures",$A$3,"Program Code","State Funds")</f>
        <v>0</v>
      </c>
      <c r="F8" t="b">
        <f t="shared" si="0"/>
        <v>0</v>
      </c>
      <c r="H8" s="65" t="s">
        <v>17</v>
      </c>
      <c r="I8" s="66">
        <v>162660.63</v>
      </c>
      <c r="J8" t="b">
        <f>E16=GETPIVOTDATA("TotalCost",$H$3,"ProgramCode","5L6E")</f>
        <v>1</v>
      </c>
    </row>
    <row r="9" spans="1:10" x14ac:dyDescent="0.25">
      <c r="A9" s="57" t="s">
        <v>13</v>
      </c>
      <c r="B9" s="58">
        <v>185000</v>
      </c>
      <c r="C9" s="58">
        <v>160321.31</v>
      </c>
      <c r="D9" s="58">
        <v>24678.69</v>
      </c>
      <c r="E9" s="58">
        <f>GETPIVOTDATA("Sum of Obligation",$A$3,"Program Code","Z560")-GETPIVOTDATA("Sum of Total Expenditures",$A$3,"Program Code","Z560")</f>
        <v>24678.690000000002</v>
      </c>
      <c r="F9" t="b">
        <f t="shared" si="0"/>
        <v>0</v>
      </c>
      <c r="H9" s="65" t="s">
        <v>23</v>
      </c>
      <c r="I9" s="66">
        <v>25000</v>
      </c>
      <c r="J9" t="b">
        <f>GETPIVOTDATA("Sum of Total Expenditures",$A$3,"Program Code","L560")=GETPIVOTDATA("TotalCost",$H$3,"ProgramCode","L560")</f>
        <v>0</v>
      </c>
    </row>
    <row r="10" spans="1:10" x14ac:dyDescent="0.25">
      <c r="A10" s="57" t="s">
        <v>43</v>
      </c>
      <c r="B10" s="58">
        <v>580000</v>
      </c>
      <c r="C10" s="58">
        <v>492801.86000000004</v>
      </c>
      <c r="D10" s="58">
        <v>87198.140000000014</v>
      </c>
      <c r="H10" s="65" t="s">
        <v>4</v>
      </c>
      <c r="I10" s="66">
        <v>280385.51</v>
      </c>
      <c r="J10" t="b">
        <f>GETPIVOTDATA("Sum of Total Expenditures",$A$3,"Program Code","L56E")=GETPIVOTDATA("TotalCost",$H$3,"ProgramCode","L56E")</f>
        <v>0</v>
      </c>
    </row>
    <row r="11" spans="1:10" x14ac:dyDescent="0.25">
      <c r="H11" s="65" t="s">
        <v>20</v>
      </c>
      <c r="I11" s="66">
        <v>21838</v>
      </c>
      <c r="J11" t="b">
        <f>GETPIVOTDATA("Sum of Total Expenditures",$A$3,"Program Code","M560")=GETPIVOTDATA("TotalCost",$H$3,"ProgramCode","M560")</f>
        <v>0</v>
      </c>
    </row>
    <row r="12" spans="1:10" x14ac:dyDescent="0.25">
      <c r="H12" s="65" t="s">
        <v>27</v>
      </c>
      <c r="I12" s="66">
        <v>4492.3500000000004</v>
      </c>
      <c r="J12" t="b">
        <f>E17=GETPIVOTDATA("TotalCost",$H$3,"ProgramCode","M6T0")</f>
        <v>0</v>
      </c>
    </row>
    <row r="13" spans="1:10" x14ac:dyDescent="0.25">
      <c r="B13" s="56" t="s">
        <v>42</v>
      </c>
      <c r="C13" t="s">
        <v>71</v>
      </c>
      <c r="D13" t="s">
        <v>70</v>
      </c>
      <c r="H13" s="65" t="s">
        <v>15</v>
      </c>
      <c r="I13" s="66">
        <v>21208.12</v>
      </c>
      <c r="J13" t="b">
        <f>E18=GETPIVOTDATA("TotalCost",$H$3,"ProgramCode","Z378")</f>
        <v>0</v>
      </c>
    </row>
    <row r="14" spans="1:10" x14ac:dyDescent="0.25">
      <c r="B14" s="57" t="s">
        <v>36</v>
      </c>
      <c r="C14" s="58">
        <v>15992.68</v>
      </c>
      <c r="D14" s="58">
        <v>6744.32</v>
      </c>
      <c r="E14" s="58">
        <f>GETPIVOTDATA("Sum of Other Funds",$B$13,"Program Code
Received","38TE ")-GETPIVOTDATA("Sum of Remaining Funds",$B$13,"Program Code
Received","38TE ")</f>
        <v>9248.36</v>
      </c>
      <c r="H14" s="65" t="s">
        <v>16</v>
      </c>
      <c r="I14" s="66">
        <v>25000</v>
      </c>
      <c r="J14" t="b">
        <f>E19=GETPIVOTDATA("TotalCost",$H$3,"ProgramCode","Z448")</f>
        <v>1</v>
      </c>
    </row>
    <row r="15" spans="1:10" x14ac:dyDescent="0.25">
      <c r="B15" s="57" t="s">
        <v>30</v>
      </c>
      <c r="C15" s="58">
        <v>1891</v>
      </c>
      <c r="D15" s="58">
        <v>1195.77</v>
      </c>
      <c r="E15" s="58">
        <f>GETPIVOTDATA("Sum of Other Funds",$B$13,"Program Code
Received","41TE")-GETPIVOTDATA("Sum of Remaining Funds",$B$13,"Program Code
Received","41TE")</f>
        <v>695.23</v>
      </c>
      <c r="H15" s="65" t="s">
        <v>13</v>
      </c>
      <c r="I15" s="66">
        <v>140257.01</v>
      </c>
      <c r="J15" t="b">
        <f>GETPIVOTDATA("Sum of Total Expenditures",$A$3,"Program Code","Z560")=GETPIVOTDATA("TotalCost",$H$3,"ProgramCode","Z560")</f>
        <v>0</v>
      </c>
    </row>
    <row r="16" spans="1:10" x14ac:dyDescent="0.25">
      <c r="B16" s="57" t="s">
        <v>17</v>
      </c>
      <c r="C16" s="58">
        <v>175000</v>
      </c>
      <c r="D16" s="58">
        <v>12339.37</v>
      </c>
      <c r="E16" s="58">
        <f>GETPIVOTDATA("Sum of Other Funds",$B$13,"Program Code
Received","5L6E")-GETPIVOTDATA("Sum of Remaining Funds",$B$13,"Program Code
Received","5L6E")</f>
        <v>162660.63</v>
      </c>
      <c r="H16" s="67" t="s">
        <v>43</v>
      </c>
      <c r="I16" s="68">
        <v>1243725.2300000002</v>
      </c>
    </row>
    <row r="17" spans="2:5" x14ac:dyDescent="0.25">
      <c r="B17" s="57" t="s">
        <v>27</v>
      </c>
      <c r="C17" s="58">
        <v>5377</v>
      </c>
      <c r="D17" s="58">
        <v>0</v>
      </c>
      <c r="E17" s="58">
        <f>GETPIVOTDATA("Sum of Other Funds",$B$13,"Program Code
Received","M6T0")-GETPIVOTDATA("Sum of Remaining Funds",$B$13,"Program Code
Received","M6T0")</f>
        <v>5377</v>
      </c>
    </row>
    <row r="18" spans="2:5" x14ac:dyDescent="0.25">
      <c r="B18" s="57" t="s">
        <v>15</v>
      </c>
      <c r="C18" s="58">
        <v>25000</v>
      </c>
      <c r="D18" s="58">
        <v>28791.87</v>
      </c>
      <c r="E18" s="58">
        <f>GETPIVOTDATA("Sum of Other Funds",$B$13,"Program Code
Received","Z378")-GETPIVOTDATA("Sum of Remaining Funds",$B$13,"Program Code
Received","Z378")</f>
        <v>-3791.869999999999</v>
      </c>
    </row>
    <row r="19" spans="2:5" x14ac:dyDescent="0.25">
      <c r="B19" s="57" t="s">
        <v>16</v>
      </c>
      <c r="C19" s="58">
        <v>25000</v>
      </c>
      <c r="D19" s="58">
        <v>0</v>
      </c>
      <c r="E19" s="58">
        <f>GETPIVOTDATA("Sum of Other Funds",$B$13,"Program Code
Received","Z448")-GETPIVOTDATA("Sum of Remaining Funds",$B$13,"Program Code
Received","Z448")</f>
        <v>25000</v>
      </c>
    </row>
    <row r="20" spans="2:5" x14ac:dyDescent="0.25">
      <c r="B20" s="57" t="s">
        <v>43</v>
      </c>
      <c r="C20" s="58">
        <v>248260.68</v>
      </c>
      <c r="D20" s="58">
        <v>49071.33</v>
      </c>
    </row>
  </sheetData>
  <conditionalFormatting sqref="J5:J15">
    <cfRule type="containsText" dxfId="1" priority="1" operator="containsText" text="TRUE">
      <formula>NOT(ISERROR(SEARCH("TRUE",J5)))</formula>
    </cfRule>
    <cfRule type="containsText" dxfId="0" priority="2" operator="containsText" text="FALSE">
      <formula>NOT(ISERROR(SEARCH("FALSE",J5)))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BDEFE-7BE6-4453-AF9F-A71D9E7468A5}">
  <dimension ref="A3:B16"/>
  <sheetViews>
    <sheetView workbookViewId="0">
      <selection activeCell="A3" sqref="A3:B16"/>
    </sheetView>
  </sheetViews>
  <sheetFormatPr defaultColWidth="9.140625" defaultRowHeight="12.75" x14ac:dyDescent="0.2"/>
  <cols>
    <col min="1" max="1" width="12.5703125" style="59" bestFit="1" customWidth="1"/>
    <col min="2" max="2" width="15.28515625" style="59" bestFit="1" customWidth="1"/>
    <col min="3" max="16384" width="9.140625" style="59"/>
  </cols>
  <sheetData>
    <row r="3" spans="1:2" x14ac:dyDescent="0.2">
      <c r="A3" s="61" t="s">
        <v>42</v>
      </c>
      <c r="B3" s="62" t="s">
        <v>69</v>
      </c>
    </row>
    <row r="4" spans="1:2" x14ac:dyDescent="0.2">
      <c r="A4" s="63"/>
      <c r="B4" s="64">
        <v>551734.11</v>
      </c>
    </row>
    <row r="5" spans="1:2" x14ac:dyDescent="0.2">
      <c r="A5" s="65" t="s">
        <v>19</v>
      </c>
      <c r="B5" s="66">
        <v>321.26</v>
      </c>
    </row>
    <row r="6" spans="1:2" x14ac:dyDescent="0.2">
      <c r="A6" s="65" t="s">
        <v>62</v>
      </c>
      <c r="B6" s="66">
        <v>9248.36</v>
      </c>
    </row>
    <row r="7" spans="1:2" x14ac:dyDescent="0.2">
      <c r="A7" s="65" t="s">
        <v>30</v>
      </c>
      <c r="B7" s="66">
        <v>1579.88</v>
      </c>
    </row>
    <row r="8" spans="1:2" x14ac:dyDescent="0.2">
      <c r="A8" s="65" t="s">
        <v>17</v>
      </c>
      <c r="B8" s="66">
        <v>162660.63</v>
      </c>
    </row>
    <row r="9" spans="1:2" x14ac:dyDescent="0.2">
      <c r="A9" s="65" t="s">
        <v>23</v>
      </c>
      <c r="B9" s="66">
        <v>25000</v>
      </c>
    </row>
    <row r="10" spans="1:2" x14ac:dyDescent="0.2">
      <c r="A10" s="65" t="s">
        <v>4</v>
      </c>
      <c r="B10" s="66">
        <v>280385.51</v>
      </c>
    </row>
    <row r="11" spans="1:2" x14ac:dyDescent="0.2">
      <c r="A11" s="65" t="s">
        <v>20</v>
      </c>
      <c r="B11" s="66">
        <v>21838</v>
      </c>
    </row>
    <row r="12" spans="1:2" x14ac:dyDescent="0.2">
      <c r="A12" s="65" t="s">
        <v>27</v>
      </c>
      <c r="B12" s="66">
        <v>4492.3500000000004</v>
      </c>
    </row>
    <row r="13" spans="1:2" x14ac:dyDescent="0.2">
      <c r="A13" s="65" t="s">
        <v>15</v>
      </c>
      <c r="B13" s="66">
        <v>21208.12</v>
      </c>
    </row>
    <row r="14" spans="1:2" x14ac:dyDescent="0.2">
      <c r="A14" s="65" t="s">
        <v>16</v>
      </c>
      <c r="B14" s="66">
        <v>25000</v>
      </c>
    </row>
    <row r="15" spans="1:2" x14ac:dyDescent="0.2">
      <c r="A15" s="65" t="s">
        <v>13</v>
      </c>
      <c r="B15" s="66">
        <v>140257.01</v>
      </c>
    </row>
    <row r="16" spans="1:2" x14ac:dyDescent="0.2">
      <c r="A16" s="67" t="s">
        <v>43</v>
      </c>
      <c r="B16" s="68">
        <v>1243725.2300000002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19F9E-B8C1-44B9-8B8D-B1D75FBF5A5F}">
  <dimension ref="A1:J30"/>
  <sheetViews>
    <sheetView workbookViewId="0">
      <selection activeCell="A41" sqref="A41"/>
    </sheetView>
  </sheetViews>
  <sheetFormatPr defaultColWidth="9.140625" defaultRowHeight="12.75" x14ac:dyDescent="0.2"/>
  <cols>
    <col min="1" max="1" width="51.85546875" style="59" bestFit="1" customWidth="1"/>
    <col min="2" max="2" width="14.140625" style="59" customWidth="1"/>
    <col min="3" max="3" width="9.42578125" style="59" customWidth="1"/>
    <col min="4" max="4" width="11.28515625" style="59" customWidth="1"/>
    <col min="5" max="5" width="14" style="59" customWidth="1"/>
    <col min="6" max="6" width="18" style="59" customWidth="1"/>
    <col min="7" max="7" width="11.140625" style="59" bestFit="1" customWidth="1"/>
    <col min="8" max="8" width="14.140625" style="59" customWidth="1"/>
    <col min="9" max="9" width="20.140625" style="59" customWidth="1"/>
    <col min="10" max="10" width="6.140625" style="59" bestFit="1" customWidth="1"/>
    <col min="11" max="16384" width="9.140625" style="59"/>
  </cols>
  <sheetData>
    <row r="1" spans="1:10" x14ac:dyDescent="0.2">
      <c r="A1" s="59" t="s">
        <v>47</v>
      </c>
      <c r="E1" s="60"/>
      <c r="F1" s="60"/>
      <c r="G1" s="60"/>
    </row>
    <row r="2" spans="1:10" x14ac:dyDescent="0.2">
      <c r="A2" s="59" t="s">
        <v>48</v>
      </c>
      <c r="B2" s="59" t="s">
        <v>49</v>
      </c>
      <c r="C2" s="59" t="s">
        <v>50</v>
      </c>
      <c r="D2" s="59" t="s">
        <v>51</v>
      </c>
      <c r="E2" s="60" t="s">
        <v>52</v>
      </c>
      <c r="F2" s="60" t="s">
        <v>53</v>
      </c>
      <c r="G2" s="60" t="s">
        <v>54</v>
      </c>
      <c r="H2" s="59" t="s">
        <v>55</v>
      </c>
      <c r="I2" s="59" t="s">
        <v>56</v>
      </c>
      <c r="J2" s="59" t="s">
        <v>57</v>
      </c>
    </row>
    <row r="3" spans="1:10" x14ac:dyDescent="0.2">
      <c r="A3" s="59" t="s">
        <v>19</v>
      </c>
      <c r="B3" s="59" t="s">
        <v>58</v>
      </c>
      <c r="E3" s="60"/>
      <c r="F3" s="60" t="s">
        <v>59</v>
      </c>
      <c r="G3" s="60">
        <v>321.26</v>
      </c>
      <c r="H3" s="59">
        <v>321.26</v>
      </c>
      <c r="I3" s="59">
        <v>0</v>
      </c>
      <c r="J3" s="59" t="s">
        <v>60</v>
      </c>
    </row>
    <row r="4" spans="1:10" x14ac:dyDescent="0.2">
      <c r="A4" s="59" t="s">
        <v>61</v>
      </c>
      <c r="B4" s="59" t="s">
        <v>61</v>
      </c>
      <c r="C4" s="59" t="s">
        <v>61</v>
      </c>
      <c r="D4" s="59" t="s">
        <v>61</v>
      </c>
      <c r="E4" s="60" t="s">
        <v>61</v>
      </c>
      <c r="F4" s="60" t="s">
        <v>61</v>
      </c>
      <c r="G4" s="60">
        <v>321.26</v>
      </c>
      <c r="H4" s="59">
        <v>321.26</v>
      </c>
      <c r="I4" s="59">
        <v>0</v>
      </c>
      <c r="J4" s="59" t="s">
        <v>61</v>
      </c>
    </row>
    <row r="5" spans="1:10" x14ac:dyDescent="0.2">
      <c r="A5" s="59" t="s">
        <v>62</v>
      </c>
      <c r="B5" s="59" t="s">
        <v>58</v>
      </c>
      <c r="E5" s="60"/>
      <c r="F5" s="60" t="s">
        <v>59</v>
      </c>
      <c r="G5" s="60">
        <v>9248.36</v>
      </c>
      <c r="H5" s="59">
        <v>9248.36</v>
      </c>
      <c r="I5" s="59">
        <v>0</v>
      </c>
      <c r="J5" s="59" t="s">
        <v>60</v>
      </c>
    </row>
    <row r="6" spans="1:10" x14ac:dyDescent="0.2">
      <c r="A6" s="59" t="s">
        <v>61</v>
      </c>
      <c r="B6" s="59" t="s">
        <v>61</v>
      </c>
      <c r="C6" s="59" t="s">
        <v>61</v>
      </c>
      <c r="D6" s="59" t="s">
        <v>61</v>
      </c>
      <c r="E6" s="60" t="s">
        <v>61</v>
      </c>
      <c r="F6" s="60" t="s">
        <v>61</v>
      </c>
      <c r="G6" s="60">
        <v>9248.36</v>
      </c>
      <c r="H6" s="59">
        <v>9248.36</v>
      </c>
      <c r="I6" s="59">
        <v>0</v>
      </c>
      <c r="J6" s="59" t="s">
        <v>61</v>
      </c>
    </row>
    <row r="7" spans="1:10" x14ac:dyDescent="0.2">
      <c r="A7" s="59" t="s">
        <v>30</v>
      </c>
      <c r="B7" s="59" t="s">
        <v>58</v>
      </c>
      <c r="E7" s="60"/>
      <c r="F7" s="60" t="s">
        <v>59</v>
      </c>
      <c r="G7" s="60">
        <v>1579.88</v>
      </c>
      <c r="H7" s="59">
        <v>1579.88</v>
      </c>
      <c r="I7" s="59">
        <v>0</v>
      </c>
      <c r="J7" s="59" t="s">
        <v>60</v>
      </c>
    </row>
    <row r="8" spans="1:10" x14ac:dyDescent="0.2">
      <c r="A8" s="59" t="s">
        <v>61</v>
      </c>
      <c r="B8" s="59" t="s">
        <v>61</v>
      </c>
      <c r="C8" s="59" t="s">
        <v>61</v>
      </c>
      <c r="D8" s="59" t="s">
        <v>61</v>
      </c>
      <c r="E8" s="60" t="s">
        <v>61</v>
      </c>
      <c r="F8" s="60" t="s">
        <v>61</v>
      </c>
      <c r="G8" s="60">
        <v>1579.88</v>
      </c>
      <c r="H8" s="59">
        <v>1579.88</v>
      </c>
      <c r="I8" s="59">
        <v>0</v>
      </c>
      <c r="J8" s="59" t="s">
        <v>61</v>
      </c>
    </row>
    <row r="9" spans="1:10" x14ac:dyDescent="0.2">
      <c r="A9" s="59" t="s">
        <v>17</v>
      </c>
      <c r="B9" s="59" t="s">
        <v>58</v>
      </c>
      <c r="E9" s="60"/>
      <c r="F9" s="60" t="s">
        <v>59</v>
      </c>
      <c r="G9" s="60">
        <v>162660.63</v>
      </c>
      <c r="H9" s="59">
        <v>162660.63</v>
      </c>
      <c r="I9" s="59">
        <v>0</v>
      </c>
      <c r="J9" s="59" t="s">
        <v>60</v>
      </c>
    </row>
    <row r="10" spans="1:10" x14ac:dyDescent="0.2">
      <c r="A10" s="59" t="s">
        <v>61</v>
      </c>
      <c r="B10" s="59" t="s">
        <v>61</v>
      </c>
      <c r="C10" s="59" t="s">
        <v>61</v>
      </c>
      <c r="D10" s="59" t="s">
        <v>61</v>
      </c>
      <c r="E10" s="60" t="s">
        <v>61</v>
      </c>
      <c r="F10" s="60" t="s">
        <v>61</v>
      </c>
      <c r="G10" s="60">
        <v>162660.63</v>
      </c>
      <c r="H10" s="59">
        <v>162660.63</v>
      </c>
      <c r="I10" s="59">
        <v>0</v>
      </c>
      <c r="J10" s="59" t="s">
        <v>61</v>
      </c>
    </row>
    <row r="11" spans="1:10" x14ac:dyDescent="0.2">
      <c r="A11" s="59" t="s">
        <v>23</v>
      </c>
      <c r="B11" s="59" t="s">
        <v>58</v>
      </c>
      <c r="E11" s="60"/>
      <c r="F11" s="60" t="s">
        <v>59</v>
      </c>
      <c r="G11" s="60">
        <v>25000</v>
      </c>
      <c r="H11" s="59">
        <v>25000</v>
      </c>
      <c r="I11" s="59">
        <v>0</v>
      </c>
      <c r="J11" s="59" t="s">
        <v>60</v>
      </c>
    </row>
    <row r="12" spans="1:10" x14ac:dyDescent="0.2">
      <c r="A12" s="59" t="s">
        <v>61</v>
      </c>
      <c r="B12" s="59" t="s">
        <v>61</v>
      </c>
      <c r="C12" s="59" t="s">
        <v>61</v>
      </c>
      <c r="D12" s="59" t="s">
        <v>61</v>
      </c>
      <c r="E12" s="60" t="s">
        <v>61</v>
      </c>
      <c r="F12" s="60" t="s">
        <v>61</v>
      </c>
      <c r="G12" s="60">
        <v>25000</v>
      </c>
      <c r="H12" s="59">
        <v>25000</v>
      </c>
      <c r="I12" s="59">
        <v>0</v>
      </c>
      <c r="J12" s="59" t="s">
        <v>61</v>
      </c>
    </row>
    <row r="13" spans="1:10" x14ac:dyDescent="0.2">
      <c r="A13" s="59" t="s">
        <v>4</v>
      </c>
      <c r="B13" s="59" t="s">
        <v>58</v>
      </c>
      <c r="E13" s="60"/>
      <c r="F13" s="60" t="s">
        <v>59</v>
      </c>
      <c r="G13" s="60">
        <v>10321.26</v>
      </c>
      <c r="H13" s="59">
        <v>10321.26</v>
      </c>
      <c r="I13" s="59">
        <v>0</v>
      </c>
      <c r="J13" s="59" t="s">
        <v>60</v>
      </c>
    </row>
    <row r="14" spans="1:10" x14ac:dyDescent="0.2">
      <c r="A14" s="59" t="s">
        <v>4</v>
      </c>
      <c r="B14" s="59" t="s">
        <v>63</v>
      </c>
      <c r="E14" s="60"/>
      <c r="F14" s="60" t="s">
        <v>59</v>
      </c>
      <c r="G14" s="60">
        <v>25000</v>
      </c>
      <c r="H14" s="59">
        <v>25000</v>
      </c>
      <c r="I14" s="59">
        <v>0</v>
      </c>
      <c r="J14" s="59" t="s">
        <v>60</v>
      </c>
    </row>
    <row r="15" spans="1:10" x14ac:dyDescent="0.2">
      <c r="A15" s="59" t="s">
        <v>4</v>
      </c>
      <c r="B15" s="59" t="s">
        <v>64</v>
      </c>
      <c r="E15" s="60"/>
      <c r="F15" s="60" t="s">
        <v>59</v>
      </c>
      <c r="G15" s="60">
        <v>75000</v>
      </c>
      <c r="H15" s="59">
        <v>75000</v>
      </c>
      <c r="I15" s="59">
        <v>0</v>
      </c>
      <c r="J15" s="59" t="s">
        <v>60</v>
      </c>
    </row>
    <row r="16" spans="1:10" x14ac:dyDescent="0.2">
      <c r="A16" s="59" t="s">
        <v>4</v>
      </c>
      <c r="B16" s="59" t="s">
        <v>65</v>
      </c>
      <c r="E16" s="60"/>
      <c r="F16" s="60" t="s">
        <v>59</v>
      </c>
      <c r="G16" s="60">
        <v>100000</v>
      </c>
      <c r="H16" s="59">
        <v>100000</v>
      </c>
      <c r="I16" s="59">
        <v>0</v>
      </c>
      <c r="J16" s="59" t="s">
        <v>60</v>
      </c>
    </row>
    <row r="17" spans="1:10" x14ac:dyDescent="0.2">
      <c r="A17" s="59" t="s">
        <v>4</v>
      </c>
      <c r="B17" s="59" t="s">
        <v>66</v>
      </c>
      <c r="E17" s="60"/>
      <c r="F17" s="60" t="s">
        <v>59</v>
      </c>
      <c r="G17" s="60">
        <v>25000</v>
      </c>
      <c r="H17" s="59">
        <v>25000</v>
      </c>
      <c r="I17" s="59">
        <v>0</v>
      </c>
      <c r="J17" s="59" t="s">
        <v>60</v>
      </c>
    </row>
    <row r="18" spans="1:10" x14ac:dyDescent="0.2">
      <c r="A18" s="59" t="s">
        <v>4</v>
      </c>
      <c r="B18" s="59" t="s">
        <v>67</v>
      </c>
      <c r="E18" s="60"/>
      <c r="F18" s="60" t="s">
        <v>59</v>
      </c>
      <c r="G18" s="60">
        <v>25000</v>
      </c>
      <c r="H18" s="59">
        <v>25000</v>
      </c>
      <c r="I18" s="59">
        <v>0</v>
      </c>
      <c r="J18" s="59" t="s">
        <v>60</v>
      </c>
    </row>
    <row r="19" spans="1:10" x14ac:dyDescent="0.2">
      <c r="A19" s="59" t="s">
        <v>4</v>
      </c>
      <c r="B19" s="59" t="s">
        <v>68</v>
      </c>
      <c r="E19" s="60"/>
      <c r="F19" s="60" t="s">
        <v>59</v>
      </c>
      <c r="G19" s="60">
        <v>20064.25</v>
      </c>
      <c r="H19" s="59">
        <v>10000</v>
      </c>
      <c r="I19" s="59">
        <v>0</v>
      </c>
      <c r="J19" s="59" t="s">
        <v>60</v>
      </c>
    </row>
    <row r="20" spans="1:10" x14ac:dyDescent="0.2">
      <c r="A20" s="59" t="s">
        <v>61</v>
      </c>
      <c r="B20" s="59" t="s">
        <v>61</v>
      </c>
      <c r="C20" s="59" t="s">
        <v>61</v>
      </c>
      <c r="D20" s="59" t="s">
        <v>61</v>
      </c>
      <c r="E20" s="60" t="s">
        <v>61</v>
      </c>
      <c r="F20" s="60" t="s">
        <v>61</v>
      </c>
      <c r="G20" s="60">
        <v>280385.51</v>
      </c>
      <c r="H20" s="59">
        <v>270321.26</v>
      </c>
      <c r="I20" s="59">
        <v>0</v>
      </c>
      <c r="J20" s="59" t="s">
        <v>61</v>
      </c>
    </row>
    <row r="21" spans="1:10" x14ac:dyDescent="0.2">
      <c r="A21" s="59" t="s">
        <v>20</v>
      </c>
      <c r="B21" s="59" t="s">
        <v>58</v>
      </c>
      <c r="E21" s="60"/>
      <c r="F21" s="60" t="s">
        <v>59</v>
      </c>
      <c r="G21" s="60">
        <v>21838</v>
      </c>
      <c r="H21" s="59">
        <v>21838</v>
      </c>
      <c r="I21" s="59">
        <v>0</v>
      </c>
      <c r="J21" s="59" t="s">
        <v>60</v>
      </c>
    </row>
    <row r="22" spans="1:10" x14ac:dyDescent="0.2">
      <c r="A22" s="59" t="s">
        <v>61</v>
      </c>
      <c r="B22" s="59" t="s">
        <v>61</v>
      </c>
      <c r="C22" s="59" t="s">
        <v>61</v>
      </c>
      <c r="D22" s="59" t="s">
        <v>61</v>
      </c>
      <c r="E22" s="60" t="s">
        <v>61</v>
      </c>
      <c r="F22" s="60" t="s">
        <v>61</v>
      </c>
      <c r="G22" s="60">
        <v>21838</v>
      </c>
      <c r="H22" s="59">
        <v>21838</v>
      </c>
      <c r="I22" s="59">
        <v>0</v>
      </c>
      <c r="J22" s="59" t="s">
        <v>61</v>
      </c>
    </row>
    <row r="23" spans="1:10" x14ac:dyDescent="0.2">
      <c r="A23" s="59" t="s">
        <v>27</v>
      </c>
      <c r="B23" s="59" t="s">
        <v>58</v>
      </c>
      <c r="E23" s="60"/>
      <c r="F23" s="60" t="s">
        <v>59</v>
      </c>
      <c r="G23" s="60">
        <v>4492.3500000000004</v>
      </c>
      <c r="H23" s="59">
        <v>4492.3500000000004</v>
      </c>
      <c r="I23" s="59">
        <v>0</v>
      </c>
      <c r="J23" s="59" t="s">
        <v>60</v>
      </c>
    </row>
    <row r="24" spans="1:10" x14ac:dyDescent="0.2">
      <c r="A24" s="59" t="s">
        <v>61</v>
      </c>
      <c r="B24" s="59" t="s">
        <v>61</v>
      </c>
      <c r="C24" s="59" t="s">
        <v>61</v>
      </c>
      <c r="D24" s="59" t="s">
        <v>61</v>
      </c>
      <c r="E24" s="60" t="s">
        <v>61</v>
      </c>
      <c r="F24" s="60" t="s">
        <v>61</v>
      </c>
      <c r="G24" s="60">
        <v>4492.3500000000004</v>
      </c>
      <c r="H24" s="59">
        <v>4492.3500000000004</v>
      </c>
      <c r="I24" s="59">
        <v>0</v>
      </c>
      <c r="J24" s="59" t="s">
        <v>61</v>
      </c>
    </row>
    <row r="25" spans="1:10" x14ac:dyDescent="0.2">
      <c r="A25" s="59" t="s">
        <v>15</v>
      </c>
      <c r="B25" s="59" t="s">
        <v>58</v>
      </c>
      <c r="E25" s="60"/>
      <c r="F25" s="60" t="s">
        <v>59</v>
      </c>
      <c r="G25" s="60">
        <v>21208.12</v>
      </c>
      <c r="H25" s="59">
        <v>21208.12</v>
      </c>
      <c r="I25" s="59">
        <v>0</v>
      </c>
      <c r="J25" s="59" t="s">
        <v>60</v>
      </c>
    </row>
    <row r="26" spans="1:10" x14ac:dyDescent="0.2">
      <c r="A26" s="59" t="s">
        <v>61</v>
      </c>
      <c r="B26" s="59" t="s">
        <v>61</v>
      </c>
      <c r="C26" s="59" t="s">
        <v>61</v>
      </c>
      <c r="D26" s="59" t="s">
        <v>61</v>
      </c>
      <c r="E26" s="60" t="s">
        <v>61</v>
      </c>
      <c r="F26" s="60" t="s">
        <v>61</v>
      </c>
      <c r="G26" s="60">
        <v>21208.12</v>
      </c>
      <c r="H26" s="59">
        <v>21208.12</v>
      </c>
      <c r="I26" s="59">
        <v>0</v>
      </c>
      <c r="J26" s="59" t="s">
        <v>61</v>
      </c>
    </row>
    <row r="27" spans="1:10" x14ac:dyDescent="0.2">
      <c r="A27" s="59" t="s">
        <v>16</v>
      </c>
      <c r="B27" s="59" t="s">
        <v>58</v>
      </c>
      <c r="E27" s="60"/>
      <c r="F27" s="60" t="s">
        <v>59</v>
      </c>
      <c r="G27" s="60">
        <v>25000</v>
      </c>
      <c r="H27" s="59">
        <v>25000</v>
      </c>
      <c r="I27" s="59">
        <v>0</v>
      </c>
      <c r="J27" s="59" t="s">
        <v>60</v>
      </c>
    </row>
    <row r="28" spans="1:10" x14ac:dyDescent="0.2">
      <c r="A28" s="59" t="s">
        <v>61</v>
      </c>
      <c r="B28" s="59" t="s">
        <v>61</v>
      </c>
      <c r="C28" s="59" t="s">
        <v>61</v>
      </c>
      <c r="D28" s="59" t="s">
        <v>61</v>
      </c>
      <c r="E28" s="60" t="s">
        <v>61</v>
      </c>
      <c r="F28" s="60" t="s">
        <v>61</v>
      </c>
      <c r="G28" s="60">
        <v>25000</v>
      </c>
      <c r="H28" s="59">
        <v>25000</v>
      </c>
      <c r="I28" s="59">
        <v>0</v>
      </c>
      <c r="J28" s="59" t="s">
        <v>61</v>
      </c>
    </row>
    <row r="29" spans="1:10" x14ac:dyDescent="0.2">
      <c r="A29" s="59" t="s">
        <v>13</v>
      </c>
      <c r="B29" s="59" t="s">
        <v>58</v>
      </c>
      <c r="E29" s="60"/>
      <c r="F29" s="60" t="s">
        <v>59</v>
      </c>
      <c r="G29" s="60">
        <v>140257.01</v>
      </c>
      <c r="H29" s="59">
        <v>140257.01</v>
      </c>
      <c r="I29" s="59">
        <v>0</v>
      </c>
      <c r="J29" s="59" t="s">
        <v>60</v>
      </c>
    </row>
    <row r="30" spans="1:10" x14ac:dyDescent="0.2">
      <c r="A30" s="59" t="s">
        <v>61</v>
      </c>
      <c r="B30" s="59" t="s">
        <v>61</v>
      </c>
      <c r="C30" s="59" t="s">
        <v>61</v>
      </c>
      <c r="D30" s="59" t="s">
        <v>61</v>
      </c>
      <c r="E30" s="60" t="s">
        <v>61</v>
      </c>
      <c r="F30" s="60" t="s">
        <v>61</v>
      </c>
      <c r="G30" s="60">
        <v>140257.01</v>
      </c>
      <c r="H30" s="59">
        <v>140257.01</v>
      </c>
      <c r="I30" s="59">
        <v>0</v>
      </c>
      <c r="J30" s="59" t="s">
        <v>61</v>
      </c>
    </row>
  </sheetData>
  <pageMargins left="0.75" right="0.75" top="1" bottom="1" header="0.5" footer="0.5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CLEAN</vt:lpstr>
      <vt:lpstr>PIVOT_Clean</vt:lpstr>
      <vt:lpstr>PIVOT_FMIS</vt:lpstr>
      <vt:lpstr>Project Detail Summary (Exporte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Sergeson, Patricia (FHWA)</cp:lastModifiedBy>
  <dcterms:created xsi:type="dcterms:W3CDTF">2011-08-11T15:02:45Z</dcterms:created>
  <dcterms:modified xsi:type="dcterms:W3CDTF">2026-01-15T20:03:49Z</dcterms:modified>
</cp:coreProperties>
</file>