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75)-Minnesota-Solicit#1461\"/>
    </mc:Choice>
  </mc:AlternateContent>
  <xr:revisionPtr revIDLastSave="0" documentId="8_{5A63B33F-1801-4C98-87B3-E67566BE7A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PF5375-FINAL" sheetId="20" r:id="rId1"/>
  </sheets>
  <definedNames>
    <definedName name="_xlnm._FilterDatabase" localSheetId="0" hidden="1">'TPF5375-FINAL'!$A$8:$J$59</definedName>
    <definedName name="_xlnm.Print_Area" localSheetId="0">'TPF5375-FINAL'!$A$9:$M$70</definedName>
    <definedName name="_xlnm.Print_Titles" localSheetId="0">'TPF5375-FINAL'!$1:$8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20" l="1"/>
  <c r="H64" i="20"/>
  <c r="E64" i="20"/>
  <c r="F26" i="20" s="1"/>
  <c r="D64" i="20"/>
  <c r="B64" i="20"/>
  <c r="I59" i="20"/>
  <c r="I58" i="20"/>
  <c r="J16" i="20" s="1"/>
  <c r="I57" i="20"/>
  <c r="I56" i="20"/>
  <c r="I55" i="20"/>
  <c r="K16" i="20" s="1"/>
  <c r="I54" i="20"/>
  <c r="I53" i="20"/>
  <c r="I52" i="20"/>
  <c r="I51" i="20"/>
  <c r="I50" i="20"/>
  <c r="I49" i="20"/>
  <c r="G49" i="20"/>
  <c r="G64" i="20" s="1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64" i="20" s="1"/>
  <c r="I10" i="20"/>
  <c r="I9" i="20"/>
  <c r="F17" i="20" l="1"/>
  <c r="F29" i="20"/>
  <c r="F23" i="20"/>
  <c r="F35" i="20"/>
  <c r="M26" i="20"/>
  <c r="M23" i="20"/>
  <c r="M35" i="20"/>
  <c r="F56" i="20"/>
  <c r="M17" i="20"/>
  <c r="F40" i="20"/>
  <c r="F37" i="20"/>
  <c r="F32" i="20"/>
  <c r="F21" i="20"/>
  <c r="F50" i="20"/>
  <c r="F47" i="20"/>
  <c r="F42" i="20"/>
  <c r="F53" i="20"/>
  <c r="F59" i="20"/>
  <c r="F10" i="20"/>
  <c r="F39" i="20"/>
  <c r="F46" i="20"/>
  <c r="F13" i="20"/>
  <c r="F9" i="20"/>
  <c r="M29" i="20" l="1"/>
  <c r="K47" i="20"/>
  <c r="M50" i="20"/>
  <c r="F64" i="20"/>
  <c r="M40" i="20"/>
  <c r="M46" i="20"/>
  <c r="K39" i="20"/>
  <c r="M39" i="20"/>
  <c r="M59" i="20"/>
  <c r="M53" i="20"/>
  <c r="M42" i="20"/>
  <c r="M21" i="20" l="1"/>
  <c r="M13" i="20"/>
  <c r="M9" i="20"/>
  <c r="J64" i="20"/>
  <c r="M10" i="20"/>
  <c r="M32" i="20"/>
  <c r="M56" i="20"/>
  <c r="M47" i="20"/>
  <c r="K64" i="20"/>
  <c r="M37" i="20"/>
  <c r="M64" i="20" l="1"/>
</calcChain>
</file>

<file path=xl/sharedStrings.xml><?xml version="1.0" encoding="utf-8"?>
<sst xmlns="http://schemas.openxmlformats.org/spreadsheetml/2006/main" count="125" uniqueCount="51">
  <si>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</si>
  <si>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</si>
  <si>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</si>
  <si>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</si>
  <si>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</si>
  <si>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</si>
  <si>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</si>
  <si>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</si>
  <si>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</si>
  <si>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 xml:space="preserve">Actual Expense % </t>
  </si>
  <si>
    <t>Q560</t>
  </si>
  <si>
    <t>L56E</t>
  </si>
  <si>
    <t>Note:</t>
  </si>
  <si>
    <t>Remaing Project Funds</t>
  </si>
  <si>
    <t>UDO Funds to Return to Partners (based on Cont %)</t>
  </si>
  <si>
    <t>Z56E</t>
  </si>
  <si>
    <t>Z560</t>
  </si>
  <si>
    <t>M560</t>
  </si>
  <si>
    <t>M56E</t>
  </si>
  <si>
    <t>Z550</t>
  </si>
  <si>
    <t>Z374</t>
  </si>
  <si>
    <t>Y560</t>
  </si>
  <si>
    <t>Minnesota Department of Transportation</t>
  </si>
  <si>
    <t>Project Manager:  Elizabeth Arndt / Lisa Swanson</t>
  </si>
  <si>
    <t>Wisconsin Department of Transportation</t>
  </si>
  <si>
    <t>Texas Department of Transportation</t>
  </si>
  <si>
    <t>Tennessee Department of Transportation</t>
  </si>
  <si>
    <t>South Carolina Department of Transportation</t>
  </si>
  <si>
    <t>Pennsylvania Department of Transportation</t>
  </si>
  <si>
    <t>Oklahoma Transportation</t>
  </si>
  <si>
    <t>North Carolina Department of Transportation</t>
  </si>
  <si>
    <t>New York State Department of Transportation</t>
  </si>
  <si>
    <t>Missouri Department of Transportation</t>
  </si>
  <si>
    <t>Mississippi Department of Transportation</t>
  </si>
  <si>
    <t>Michigan Department of Transportation</t>
  </si>
  <si>
    <t>Maryland Department of Transportation State Highway Administration</t>
  </si>
  <si>
    <t>Kentucky Transportation Cabinet</t>
  </si>
  <si>
    <t>Kansas Department of Transportation</t>
  </si>
  <si>
    <t>Illinois Department of Transportation</t>
  </si>
  <si>
    <t>Georgia Department of Transportation</t>
  </si>
  <si>
    <t>Federal Highway Administration</t>
  </si>
  <si>
    <t>Colorado Department of Transportation</t>
  </si>
  <si>
    <t>Arkansas Department of Transportation</t>
  </si>
  <si>
    <t>Alabama Department of Transportation</t>
  </si>
  <si>
    <t>Project No.: TPF-5(375)</t>
  </si>
  <si>
    <t>Contributions in excess of commitment on Pooled Fund Website:  N/A     (TTL = $0.00)</t>
  </si>
  <si>
    <t>(E-J)/$G</t>
  </si>
  <si>
    <t xml:space="preserve">Contributions commitment on Pooled Fund Website-not received:  OK = $50K.     (TTL = $50,000.00) </t>
  </si>
  <si>
    <t>as of DATE:  06/26/2025</t>
  </si>
  <si>
    <t xml:space="preserve">Federal Highway contributed allocated funds in the amount of $150,000.00, of which $150,000.00 was fully expended. </t>
  </si>
  <si>
    <t>Remaining apportioned funds in the amount of $136,362.57 are to be distributed back proportionately to the contributing states.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</si>
</sst>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rgb="FFFF0000"/>
      <name val="Times New Roman"/>
      <family val="1"/>
    </font>
    <font>
      <b/>
      <sz val="11"/>
      <color theme="3" tint="0.39997558519241921"/>
      <name val="Times New Roman"/>
      <family val="1"/>
    </font>
    <font>
      <b/>
      <u/>
      <sz val="11"/>
      <color theme="3" tint="0.39997558519241921"/>
      <name val="Times New Roman"/>
      <family val="1"/>
    </font>
    <font>
      <strike/>
      <sz val="11"/>
      <name val="Times New Roman"/>
      <family val="1"/>
    </font>
    <font>
      <b/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63377788628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6" fillId="0" borderId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Border="1"/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164" fontId="4" fillId="0" borderId="2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4" xfId="0" applyFont="1" applyBorder="1"/>
    <xf numFmtId="0" fontId="3" fillId="0" borderId="4" xfId="0" applyFont="1" applyBorder="1" applyAlignment="1">
      <alignment horizontal="center" vertical="top"/>
    </xf>
    <xf numFmtId="10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5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5" xfId="0" applyFont="1" applyBorder="1" applyAlignment="1">
      <alignment horizontal="center"/>
    </xf>
    <xf numFmtId="43" fontId="3" fillId="3" borderId="3" xfId="1" applyFont="1" applyFill="1" applyBorder="1" applyAlignment="1">
      <alignment horizontal="right"/>
    </xf>
    <xf numFmtId="43" fontId="3" fillId="0" borderId="0" xfId="0" applyNumberFormat="1" applyFont="1"/>
    <xf numFmtId="0" fontId="3" fillId="0" borderId="4" xfId="0" applyFont="1" applyFill="1" applyBorder="1" applyAlignment="1">
      <alignment horizontal="left"/>
    </xf>
    <xf numFmtId="39" fontId="3" fillId="4" borderId="4" xfId="2" applyNumberFormat="1" applyFont="1" applyFill="1" applyBorder="1"/>
    <xf numFmtId="43" fontId="3" fillId="4" borderId="4" xfId="1" applyFont="1" applyFill="1" applyBorder="1"/>
    <xf numFmtId="0" fontId="9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4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3" fillId="0" borderId="0" xfId="0" applyNumberFormat="1" applyFont="1" applyFill="1"/>
    <xf numFmtId="0" fontId="11" fillId="0" borderId="4" xfId="0" applyFont="1" applyFill="1" applyBorder="1"/>
    <xf numFmtId="0" fontId="11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43" fontId="2" fillId="5" borderId="4" xfId="1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39" fontId="2" fillId="2" borderId="4" xfId="2" applyNumberFormat="1" applyFont="1" applyFill="1" applyBorder="1"/>
    <xf numFmtId="43" fontId="2" fillId="2" borderId="4" xfId="1" applyFont="1" applyFill="1" applyBorder="1"/>
    <xf numFmtId="10" fontId="3" fillId="0" borderId="3" xfId="0" applyNumberFormat="1" applyFont="1" applyFill="1" applyBorder="1" applyAlignment="1">
      <alignment horizontal="right"/>
    </xf>
    <xf numFmtId="0" fontId="7" fillId="0" borderId="0" xfId="0" applyFont="1"/>
    <xf numFmtId="43" fontId="12" fillId="0" borderId="0" xfId="0" applyNumberFormat="1" applyFont="1" applyFill="1"/>
    <xf numFmtId="0" fontId="12" fillId="0" borderId="0" xfId="0" applyFont="1" applyFill="1" applyAlignment="1">
      <alignment horizontal="center" vertical="top"/>
    </xf>
    <xf numFmtId="164" fontId="3" fillId="0" borderId="0" xfId="0" applyNumberFormat="1" applyFont="1" applyFill="1"/>
    <xf numFmtId="0" fontId="3" fillId="0" borderId="0" xfId="0" applyFont="1" applyFill="1"/>
    <xf numFmtId="0" fontId="7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8">
    <cellStyle name="Comma" xfId="1" builtinId="3"/>
    <cellStyle name="Comma 2" xfId="5" xr:uid="{FDCC57F2-65D7-4C1C-B0DC-AC478DE3E1E3}"/>
    <cellStyle name="Currency" xfId="2" builtinId="4"/>
    <cellStyle name="Currency 2" xfId="4" xr:uid="{53A4FE3D-C3FE-4B86-8E6A-BA28F3BAAE09}"/>
    <cellStyle name="Normal" xfId="0" builtinId="0"/>
    <cellStyle name="Normal 2" xfId="3" xr:uid="{E7AD0CD3-C6F2-49F2-8183-3A9D728E53E0}"/>
    <cellStyle name="Normal 3" xfId="6" xr:uid="{5536BED3-0709-4A8A-9CED-B4C850A64B6E}"/>
    <cellStyle name="Normal 3 2" xfId="7" xr:uid="{85E02D51-AD15-46DB-8C19-6D99AC3658B4}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C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E67C-C9A1-45CF-8C94-026EBD97297E}">
  <sheetPr>
    <tabColor theme="6" tint="-0.249977111117893"/>
    <pageSetUpPr fitToPage="1"/>
  </sheetPr>
  <dimension ref="A1:M69"/>
  <sheetViews>
    <sheetView tabSelected="1" topLeftCell="B31" zoomScale="160" zoomScaleNormal="160" workbookViewId="0">
      <selection activeCell="L8" sqref="L8"/>
    </sheetView>
  </sheetViews>
  <sheetFormatPr defaultColWidth="9.140625" defaultRowHeight="15" x14ac:dyDescent="0.25"/>
  <cols>
    <col min="1" max="1" width="61.140625" style="3" customWidth="1"/>
    <col min="2" max="2" width="13.28515625" style="3" customWidth="1"/>
    <col min="3" max="3" width="10.5703125" style="3" customWidth="1"/>
    <col min="4" max="5" width="14.140625" style="3" customWidth="1"/>
    <col min="6" max="6" width="12.7109375" style="3" customWidth="1"/>
    <col min="7" max="7" width="17.7109375" style="3" customWidth="1"/>
    <col min="8" max="8" width="16" style="3" customWidth="1"/>
    <col min="9" max="9" width="14.28515625" style="3" customWidth="1"/>
    <col min="10" max="12" width="12.7109375" style="3" customWidth="1"/>
    <col min="13" max="13" width="10.42578125" style="3" customWidth="1"/>
    <col min="14" max="16384" width="9.140625" style="3"/>
  </cols>
  <sheetData>
    <row r="1" spans="1:13" ht="15" customHeight="1" x14ac:dyDescent="0.25">
      <c r="A1" s="69" t="s">
        <v>44</v>
      </c>
      <c r="B1" s="70"/>
      <c r="C1" s="1"/>
      <c r="D1" s="2"/>
      <c r="F1" s="21"/>
    </row>
    <row r="2" spans="1:13" ht="15" customHeight="1" x14ac:dyDescent="0.25">
      <c r="A2" s="22" t="s">
        <v>23</v>
      </c>
      <c r="C2" s="21"/>
      <c r="F2" s="21"/>
      <c r="I2" s="22"/>
      <c r="J2" s="22"/>
    </row>
    <row r="3" spans="1:13" ht="15" customHeight="1" x14ac:dyDescent="0.25">
      <c r="A3" s="57" t="s">
        <v>48</v>
      </c>
      <c r="B3" s="57"/>
      <c r="C3" s="21"/>
      <c r="F3" s="21"/>
      <c r="I3" s="22"/>
      <c r="J3" s="22"/>
    </row>
    <row r="4" spans="1:13" ht="15" customHeight="1" x14ac:dyDescent="0.25">
      <c r="B4" s="57"/>
      <c r="C4" s="21"/>
      <c r="F4" s="21"/>
      <c r="I4" s="22"/>
      <c r="J4" s="35"/>
    </row>
    <row r="5" spans="1:13" ht="15" customHeight="1" x14ac:dyDescent="0.25">
      <c r="A5" s="23"/>
      <c r="B5" s="4"/>
      <c r="C5" s="21"/>
      <c r="F5" s="21"/>
      <c r="G5" s="24"/>
      <c r="H5" s="24"/>
      <c r="I5" s="24"/>
      <c r="J5" s="34"/>
    </row>
    <row r="6" spans="1:13" ht="15.75" customHeight="1" thickBot="1" x14ac:dyDescent="0.3">
      <c r="A6" s="57" t="s">
        <v>0</v>
      </c>
      <c r="B6" s="21"/>
      <c r="C6" s="25"/>
      <c r="D6" s="21"/>
      <c r="E6" s="21"/>
      <c r="F6" s="21"/>
      <c r="G6" s="26"/>
      <c r="H6" s="26"/>
      <c r="I6" s="21"/>
      <c r="J6" s="21"/>
    </row>
    <row r="7" spans="1:13" ht="28.5" customHeight="1" thickBot="1" x14ac:dyDescent="0.3">
      <c r="D7" s="5"/>
      <c r="E7" s="5"/>
      <c r="G7" s="58" t="s">
        <v>5</v>
      </c>
      <c r="H7" s="6"/>
      <c r="I7" s="7"/>
      <c r="J7" s="71" t="s">
        <v>14</v>
      </c>
      <c r="K7" s="72"/>
      <c r="L7" s="72"/>
      <c r="M7" s="56" t="s">
        <v>46</v>
      </c>
    </row>
    <row r="8" spans="1:13" ht="42.75" customHeight="1" thickBot="1" x14ac:dyDescent="0.3">
      <c r="A8" s="43" t="s">
        <v>1</v>
      </c>
      <c r="B8" s="44" t="s">
        <v>2</v>
      </c>
      <c r="C8" s="44" t="s">
        <v>3</v>
      </c>
      <c r="D8" s="45" t="s">
        <v>6</v>
      </c>
      <c r="E8" s="45" t="s">
        <v>7</v>
      </c>
      <c r="F8" s="47" t="s">
        <v>4</v>
      </c>
      <c r="G8" s="27">
        <v>4613637.43</v>
      </c>
      <c r="H8" s="59" t="s">
        <v>8</v>
      </c>
      <c r="I8" s="8" t="s">
        <v>13</v>
      </c>
      <c r="J8" s="36" t="s">
        <v>21</v>
      </c>
      <c r="K8" s="36" t="s">
        <v>10</v>
      </c>
      <c r="L8" s="50" t="s">
        <v>20</v>
      </c>
      <c r="M8" s="59" t="s">
        <v>9</v>
      </c>
    </row>
    <row r="9" spans="1:13" x14ac:dyDescent="0.25">
      <c r="A9" s="52" t="s">
        <v>43</v>
      </c>
      <c r="B9" s="14">
        <v>250000</v>
      </c>
      <c r="C9" s="15" t="s">
        <v>16</v>
      </c>
      <c r="D9" s="16">
        <v>250000</v>
      </c>
      <c r="E9" s="17">
        <v>250000</v>
      </c>
      <c r="F9" s="46">
        <f>(E9)/($E$64-$E$16)</f>
        <v>5.434782608695652E-2</v>
      </c>
      <c r="G9" s="9">
        <v>250000</v>
      </c>
      <c r="H9" s="9">
        <v>250000</v>
      </c>
      <c r="I9" s="11">
        <f>E9-H9</f>
        <v>0</v>
      </c>
      <c r="J9" s="37">
        <v>4693.62</v>
      </c>
      <c r="K9" s="37">
        <v>2717.39</v>
      </c>
      <c r="L9" s="37"/>
      <c r="M9" s="12">
        <f>((E9)-(J9+K9+L9))/($G$64-$G$16)</f>
        <v>5.4347825916496985E-2</v>
      </c>
    </row>
    <row r="10" spans="1:13" x14ac:dyDescent="0.25">
      <c r="A10" s="52" t="s">
        <v>42</v>
      </c>
      <c r="B10" s="14">
        <v>100000</v>
      </c>
      <c r="C10" s="15" t="s">
        <v>19</v>
      </c>
      <c r="D10" s="16">
        <v>100000</v>
      </c>
      <c r="E10" s="17">
        <v>100000</v>
      </c>
      <c r="F10" s="46">
        <f>(E10+E11+E12)/($E$64-$E$16)</f>
        <v>4.3478260869565216E-2</v>
      </c>
      <c r="G10" s="9">
        <v>100000</v>
      </c>
      <c r="H10" s="9">
        <v>100000</v>
      </c>
      <c r="I10" s="11">
        <f t="shared" ref="I10:I15" si="0">E10-H10</f>
        <v>0</v>
      </c>
      <c r="J10" s="37">
        <v>3754.89</v>
      </c>
      <c r="K10" s="37">
        <v>2173.92</v>
      </c>
      <c r="L10" s="37"/>
      <c r="M10" s="12">
        <f>((E10+E11+E12)-(J10+K10+L10))/($G$64-$G$16)</f>
        <v>4.3478260285132526E-2</v>
      </c>
    </row>
    <row r="11" spans="1:13" x14ac:dyDescent="0.25">
      <c r="A11" s="13" t="s">
        <v>42</v>
      </c>
      <c r="B11" s="14">
        <v>50000</v>
      </c>
      <c r="C11" s="15" t="s">
        <v>16</v>
      </c>
      <c r="D11" s="40">
        <v>50000</v>
      </c>
      <c r="E11" s="41">
        <v>50000</v>
      </c>
      <c r="F11" s="12"/>
      <c r="G11" s="9">
        <v>50000</v>
      </c>
      <c r="H11" s="9">
        <v>50000</v>
      </c>
      <c r="I11" s="11">
        <f t="shared" si="0"/>
        <v>0</v>
      </c>
      <c r="J11" s="37"/>
      <c r="K11" s="37"/>
      <c r="L11" s="37"/>
      <c r="M11" s="12"/>
    </row>
    <row r="12" spans="1:13" x14ac:dyDescent="0.25">
      <c r="A12" s="13" t="s">
        <v>42</v>
      </c>
      <c r="B12" s="14">
        <v>50000</v>
      </c>
      <c r="C12" s="15" t="s">
        <v>21</v>
      </c>
      <c r="D12" s="40">
        <v>50000</v>
      </c>
      <c r="E12" s="41">
        <v>50000</v>
      </c>
      <c r="F12" s="12"/>
      <c r="G12" s="9">
        <v>50000</v>
      </c>
      <c r="H12" s="9">
        <v>50000</v>
      </c>
      <c r="I12" s="11">
        <f t="shared" si="0"/>
        <v>0</v>
      </c>
      <c r="J12" s="37"/>
      <c r="K12" s="37"/>
      <c r="L12" s="37"/>
      <c r="M12" s="12"/>
    </row>
    <row r="13" spans="1:13" x14ac:dyDescent="0.25">
      <c r="A13" s="52" t="s">
        <v>41</v>
      </c>
      <c r="B13" s="14">
        <v>150000</v>
      </c>
      <c r="C13" s="15" t="s">
        <v>16</v>
      </c>
      <c r="D13" s="40">
        <v>150000</v>
      </c>
      <c r="E13" s="41">
        <v>150000</v>
      </c>
      <c r="F13" s="46">
        <f>(E13+E14+E15)/($E$64-$E$16)</f>
        <v>5.434782608695652E-2</v>
      </c>
      <c r="G13" s="9">
        <v>150000</v>
      </c>
      <c r="H13" s="9">
        <v>150000</v>
      </c>
      <c r="I13" s="11">
        <f t="shared" si="0"/>
        <v>0</v>
      </c>
      <c r="J13" s="37">
        <v>4693.62</v>
      </c>
      <c r="K13" s="37">
        <v>2717.39</v>
      </c>
      <c r="L13" s="37"/>
      <c r="M13" s="12">
        <f>((E13+E14+E15)-(J13+K13+L13))/($G$64-$G$16)</f>
        <v>5.4347825916496985E-2</v>
      </c>
    </row>
    <row r="14" spans="1:13" x14ac:dyDescent="0.25">
      <c r="A14" s="39" t="s">
        <v>41</v>
      </c>
      <c r="B14" s="14">
        <v>50000</v>
      </c>
      <c r="C14" s="15" t="s">
        <v>15</v>
      </c>
      <c r="D14" s="40">
        <v>50000</v>
      </c>
      <c r="E14" s="41">
        <v>50000</v>
      </c>
      <c r="F14" s="12"/>
      <c r="G14" s="9">
        <v>50000</v>
      </c>
      <c r="H14" s="9">
        <v>50000</v>
      </c>
      <c r="I14" s="11">
        <f t="shared" si="0"/>
        <v>0</v>
      </c>
      <c r="J14" s="37"/>
      <c r="K14" s="37"/>
      <c r="L14" s="37"/>
      <c r="M14" s="12"/>
    </row>
    <row r="15" spans="1:13" x14ac:dyDescent="0.25">
      <c r="A15" s="39" t="s">
        <v>41</v>
      </c>
      <c r="B15" s="14">
        <v>50000</v>
      </c>
      <c r="C15" s="20" t="s">
        <v>21</v>
      </c>
      <c r="D15" s="16">
        <v>50000</v>
      </c>
      <c r="E15" s="17">
        <v>50000</v>
      </c>
      <c r="F15" s="12"/>
      <c r="G15" s="9">
        <v>50000</v>
      </c>
      <c r="H15" s="9">
        <v>50000</v>
      </c>
      <c r="I15" s="11">
        <f t="shared" si="0"/>
        <v>0</v>
      </c>
      <c r="J15" s="37"/>
      <c r="K15" s="37"/>
      <c r="L15" s="37"/>
      <c r="M15" s="12"/>
    </row>
    <row r="16" spans="1:13" x14ac:dyDescent="0.25">
      <c r="A16" s="53" t="s">
        <v>40</v>
      </c>
      <c r="B16" s="14">
        <v>150000</v>
      </c>
      <c r="C16" s="42" t="s">
        <v>20</v>
      </c>
      <c r="D16" s="16">
        <v>150000</v>
      </c>
      <c r="E16" s="17">
        <v>150000</v>
      </c>
      <c r="F16" s="62"/>
      <c r="G16" s="9">
        <v>150000</v>
      </c>
      <c r="H16" s="9">
        <v>150000</v>
      </c>
      <c r="I16" s="11">
        <f>E16-H16</f>
        <v>0</v>
      </c>
      <c r="J16" s="37">
        <f>F16*(+$I$58)</f>
        <v>0</v>
      </c>
      <c r="K16" s="37">
        <f>F16*$I$55</f>
        <v>0</v>
      </c>
      <c r="L16" s="37"/>
      <c r="M16" s="12"/>
    </row>
    <row r="17" spans="1:13" x14ac:dyDescent="0.25">
      <c r="A17" s="52" t="s">
        <v>39</v>
      </c>
      <c r="B17" s="14">
        <v>100000</v>
      </c>
      <c r="C17" s="15" t="s">
        <v>16</v>
      </c>
      <c r="D17" s="16">
        <v>100000</v>
      </c>
      <c r="E17" s="17">
        <v>100000</v>
      </c>
      <c r="F17" s="46">
        <f>(E17+E18+E19+E20)/($E$64-$E$16)</f>
        <v>6.5217391304347824E-2</v>
      </c>
      <c r="G17" s="9">
        <v>100000</v>
      </c>
      <c r="H17" s="9">
        <v>100000</v>
      </c>
      <c r="I17" s="11">
        <f t="shared" ref="I17:I59" si="1">E17-H17</f>
        <v>0</v>
      </c>
      <c r="J17" s="37">
        <v>5632.34</v>
      </c>
      <c r="K17" s="37">
        <v>3260.87</v>
      </c>
      <c r="L17" s="37"/>
      <c r="M17" s="12">
        <f>((E17+E18+E19+E20)-(J17+K17+L17))/($G$64-$G$16)</f>
        <v>6.521739154786145E-2</v>
      </c>
    </row>
    <row r="18" spans="1:13" x14ac:dyDescent="0.25">
      <c r="A18" s="13" t="s">
        <v>39</v>
      </c>
      <c r="B18" s="14">
        <v>50000</v>
      </c>
      <c r="C18" s="15" t="s">
        <v>11</v>
      </c>
      <c r="D18" s="16">
        <v>50000</v>
      </c>
      <c r="E18" s="17">
        <v>50000</v>
      </c>
      <c r="F18" s="12"/>
      <c r="G18" s="9">
        <v>50000</v>
      </c>
      <c r="H18" s="9">
        <v>50000</v>
      </c>
      <c r="I18" s="11">
        <f t="shared" si="1"/>
        <v>0</v>
      </c>
      <c r="J18" s="37"/>
      <c r="K18" s="37"/>
      <c r="L18" s="37"/>
      <c r="M18" s="12"/>
    </row>
    <row r="19" spans="1:13" x14ac:dyDescent="0.25">
      <c r="A19" s="13" t="s">
        <v>39</v>
      </c>
      <c r="B19" s="14">
        <v>100000</v>
      </c>
      <c r="C19" s="15" t="s">
        <v>15</v>
      </c>
      <c r="D19" s="16">
        <v>100000</v>
      </c>
      <c r="E19" s="17">
        <v>100000</v>
      </c>
      <c r="F19" s="12"/>
      <c r="G19" s="9">
        <v>100000</v>
      </c>
      <c r="H19" s="9">
        <v>100000</v>
      </c>
      <c r="I19" s="11">
        <f t="shared" si="1"/>
        <v>0</v>
      </c>
      <c r="J19" s="37"/>
      <c r="K19" s="37"/>
      <c r="L19" s="37"/>
      <c r="M19" s="12"/>
    </row>
    <row r="20" spans="1:13" x14ac:dyDescent="0.25">
      <c r="A20" s="13" t="s">
        <v>39</v>
      </c>
      <c r="B20" s="14">
        <v>50000</v>
      </c>
      <c r="C20" s="15" t="s">
        <v>21</v>
      </c>
      <c r="D20" s="16">
        <v>50000</v>
      </c>
      <c r="E20" s="17">
        <v>50000</v>
      </c>
      <c r="F20" s="12"/>
      <c r="G20" s="9">
        <v>50000</v>
      </c>
      <c r="H20" s="9">
        <v>50000</v>
      </c>
      <c r="I20" s="11">
        <f t="shared" si="1"/>
        <v>0</v>
      </c>
      <c r="J20" s="37"/>
      <c r="K20" s="37"/>
      <c r="L20" s="37"/>
      <c r="M20" s="12"/>
    </row>
    <row r="21" spans="1:13" x14ac:dyDescent="0.25">
      <c r="A21" s="52" t="s">
        <v>38</v>
      </c>
      <c r="B21" s="14">
        <v>200000</v>
      </c>
      <c r="C21" s="15" t="s">
        <v>16</v>
      </c>
      <c r="D21" s="16">
        <v>200000</v>
      </c>
      <c r="E21" s="17">
        <v>200000</v>
      </c>
      <c r="F21" s="46">
        <f>(E21+E22)/($E$64-$E$16)</f>
        <v>5.434782608695652E-2</v>
      </c>
      <c r="G21" s="9">
        <v>200000</v>
      </c>
      <c r="H21" s="9">
        <v>200000</v>
      </c>
      <c r="I21" s="11">
        <f t="shared" si="1"/>
        <v>0</v>
      </c>
      <c r="J21" s="37">
        <v>4693.62</v>
      </c>
      <c r="K21" s="37">
        <v>2717.39</v>
      </c>
      <c r="L21" s="37"/>
      <c r="M21" s="12">
        <f>((E21+E22)-(J21+K21+L21))/($G$64-$G$16)</f>
        <v>5.4347825916496985E-2</v>
      </c>
    </row>
    <row r="22" spans="1:13" x14ac:dyDescent="0.25">
      <c r="A22" s="13" t="s">
        <v>38</v>
      </c>
      <c r="B22" s="14">
        <v>50000</v>
      </c>
      <c r="C22" s="15" t="s">
        <v>17</v>
      </c>
      <c r="D22" s="16">
        <v>50000</v>
      </c>
      <c r="E22" s="17">
        <v>50000</v>
      </c>
      <c r="F22" s="12"/>
      <c r="G22" s="9">
        <v>50000</v>
      </c>
      <c r="H22" s="9">
        <v>50000</v>
      </c>
      <c r="I22" s="11">
        <f t="shared" si="1"/>
        <v>0</v>
      </c>
      <c r="J22" s="37"/>
      <c r="K22" s="37"/>
      <c r="L22" s="37"/>
      <c r="M22" s="12"/>
    </row>
    <row r="23" spans="1:13" x14ac:dyDescent="0.25">
      <c r="A23" s="52" t="s">
        <v>37</v>
      </c>
      <c r="B23" s="14">
        <v>100000</v>
      </c>
      <c r="C23" s="15" t="s">
        <v>19</v>
      </c>
      <c r="D23" s="16">
        <v>100000</v>
      </c>
      <c r="E23" s="17">
        <v>100000</v>
      </c>
      <c r="F23" s="46">
        <f>(E23+E24+E25)/($E$64-$E$16)</f>
        <v>5.434782608695652E-2</v>
      </c>
      <c r="G23" s="9">
        <v>100000</v>
      </c>
      <c r="H23" s="9">
        <v>100000</v>
      </c>
      <c r="I23" s="11">
        <f t="shared" si="1"/>
        <v>0</v>
      </c>
      <c r="J23" s="37">
        <v>4693.62</v>
      </c>
      <c r="K23" s="37">
        <v>2717.39</v>
      </c>
      <c r="L23" s="37"/>
      <c r="M23" s="12">
        <f>((E23+E24+E25)-(J23+K23+L23))/($G$64-$G$16)</f>
        <v>5.4347825916496985E-2</v>
      </c>
    </row>
    <row r="24" spans="1:13" x14ac:dyDescent="0.25">
      <c r="A24" s="13" t="s">
        <v>37</v>
      </c>
      <c r="B24" s="14">
        <v>100000</v>
      </c>
      <c r="C24" s="15" t="s">
        <v>16</v>
      </c>
      <c r="D24" s="16">
        <v>100000</v>
      </c>
      <c r="E24" s="17">
        <v>100000</v>
      </c>
      <c r="F24" s="12"/>
      <c r="G24" s="9">
        <v>100000</v>
      </c>
      <c r="H24" s="9">
        <v>100000</v>
      </c>
      <c r="I24" s="11">
        <f t="shared" si="1"/>
        <v>0</v>
      </c>
      <c r="J24" s="37"/>
      <c r="K24" s="37"/>
      <c r="L24" s="37"/>
      <c r="M24" s="12"/>
    </row>
    <row r="25" spans="1:13" x14ac:dyDescent="0.25">
      <c r="A25" s="13" t="s">
        <v>37</v>
      </c>
      <c r="B25" s="14">
        <v>50000</v>
      </c>
      <c r="C25" s="15" t="s">
        <v>15</v>
      </c>
      <c r="D25" s="16">
        <v>50000</v>
      </c>
      <c r="E25" s="17">
        <v>50000</v>
      </c>
      <c r="F25" s="12"/>
      <c r="G25" s="9">
        <v>50000</v>
      </c>
      <c r="H25" s="9">
        <v>50000</v>
      </c>
      <c r="I25" s="11">
        <f t="shared" si="1"/>
        <v>0</v>
      </c>
      <c r="J25" s="37"/>
      <c r="K25" s="37"/>
      <c r="L25" s="37"/>
      <c r="M25" s="12"/>
    </row>
    <row r="26" spans="1:13" x14ac:dyDescent="0.25">
      <c r="A26" s="52" t="s">
        <v>36</v>
      </c>
      <c r="B26" s="14">
        <v>150000</v>
      </c>
      <c r="C26" s="15" t="s">
        <v>16</v>
      </c>
      <c r="D26" s="16">
        <v>150000</v>
      </c>
      <c r="E26" s="17">
        <v>150000</v>
      </c>
      <c r="F26" s="46">
        <f>(E26+E27+E28)/($E$64-$E$16)</f>
        <v>5.434782608695652E-2</v>
      </c>
      <c r="G26" s="9">
        <v>150000</v>
      </c>
      <c r="H26" s="9">
        <v>150000</v>
      </c>
      <c r="I26" s="11">
        <f t="shared" si="1"/>
        <v>0</v>
      </c>
      <c r="J26" s="37">
        <v>4693.62</v>
      </c>
      <c r="K26" s="37">
        <v>2717.39</v>
      </c>
      <c r="L26" s="37"/>
      <c r="M26" s="12">
        <f>((E26+E27+E28)-(J26+K26+L26))/($G$64-$G$16)</f>
        <v>5.4347825916496985E-2</v>
      </c>
    </row>
    <row r="27" spans="1:13" x14ac:dyDescent="0.25">
      <c r="A27" s="13" t="s">
        <v>36</v>
      </c>
      <c r="B27" s="14">
        <v>50000</v>
      </c>
      <c r="C27" s="15" t="s">
        <v>15</v>
      </c>
      <c r="D27" s="16">
        <v>50000</v>
      </c>
      <c r="E27" s="17">
        <v>50000</v>
      </c>
      <c r="F27" s="12"/>
      <c r="G27" s="9">
        <v>50000</v>
      </c>
      <c r="H27" s="9">
        <v>50000</v>
      </c>
      <c r="I27" s="11">
        <f t="shared" si="1"/>
        <v>0</v>
      </c>
      <c r="J27" s="37"/>
      <c r="K27" s="37"/>
      <c r="L27" s="37"/>
      <c r="M27" s="12"/>
    </row>
    <row r="28" spans="1:13" x14ac:dyDescent="0.25">
      <c r="A28" s="13" t="s">
        <v>36</v>
      </c>
      <c r="B28" s="14">
        <v>50000</v>
      </c>
      <c r="C28" s="15" t="s">
        <v>21</v>
      </c>
      <c r="D28" s="16">
        <v>50000</v>
      </c>
      <c r="E28" s="17">
        <v>50000</v>
      </c>
      <c r="F28" s="12"/>
      <c r="G28" s="9">
        <v>50000</v>
      </c>
      <c r="H28" s="9">
        <v>50000</v>
      </c>
      <c r="I28" s="11">
        <f t="shared" si="1"/>
        <v>0</v>
      </c>
      <c r="J28" s="37"/>
      <c r="K28" s="37"/>
      <c r="L28" s="37"/>
      <c r="M28" s="12"/>
    </row>
    <row r="29" spans="1:13" x14ac:dyDescent="0.25">
      <c r="A29" s="52" t="s">
        <v>35</v>
      </c>
      <c r="B29" s="14">
        <v>100000</v>
      </c>
      <c r="C29" s="15" t="s">
        <v>16</v>
      </c>
      <c r="D29" s="16">
        <v>100000</v>
      </c>
      <c r="E29" s="17">
        <v>100000</v>
      </c>
      <c r="F29" s="46">
        <f>(E29+E30+E31)/($E$64-$E$16)</f>
        <v>5.434782608695652E-2</v>
      </c>
      <c r="G29" s="9">
        <v>100000</v>
      </c>
      <c r="H29" s="9">
        <v>100000</v>
      </c>
      <c r="I29" s="11">
        <f t="shared" si="1"/>
        <v>0</v>
      </c>
      <c r="J29" s="37">
        <v>4693.62</v>
      </c>
      <c r="K29" s="37">
        <v>2717.39</v>
      </c>
      <c r="L29" s="37"/>
      <c r="M29" s="12">
        <f>((E29+E30+E31)-(J29+K29+L29))/($G$64-$G$16)</f>
        <v>5.4347825916496985E-2</v>
      </c>
    </row>
    <row r="30" spans="1:13" x14ac:dyDescent="0.25">
      <c r="A30" s="13" t="s">
        <v>35</v>
      </c>
      <c r="B30" s="14">
        <v>50000</v>
      </c>
      <c r="C30" s="15" t="s">
        <v>15</v>
      </c>
      <c r="D30" s="16">
        <v>50000</v>
      </c>
      <c r="E30" s="17">
        <v>50000</v>
      </c>
      <c r="F30" s="12"/>
      <c r="G30" s="9">
        <v>50000</v>
      </c>
      <c r="H30" s="9">
        <v>50000</v>
      </c>
      <c r="I30" s="11">
        <f t="shared" si="1"/>
        <v>0</v>
      </c>
      <c r="J30" s="37"/>
      <c r="K30" s="37"/>
      <c r="L30" s="37"/>
      <c r="M30" s="12"/>
    </row>
    <row r="31" spans="1:13" x14ac:dyDescent="0.25">
      <c r="A31" s="13" t="s">
        <v>35</v>
      </c>
      <c r="B31" s="14">
        <v>100000</v>
      </c>
      <c r="C31" s="15" t="s">
        <v>21</v>
      </c>
      <c r="D31" s="16">
        <v>100000</v>
      </c>
      <c r="E31" s="17">
        <v>100000</v>
      </c>
      <c r="F31" s="12"/>
      <c r="G31" s="9">
        <v>100000</v>
      </c>
      <c r="H31" s="9">
        <v>100000</v>
      </c>
      <c r="I31" s="11">
        <f t="shared" si="1"/>
        <v>0</v>
      </c>
      <c r="J31" s="37"/>
      <c r="K31" s="37"/>
      <c r="L31" s="37"/>
      <c r="M31" s="12"/>
    </row>
    <row r="32" spans="1:13" x14ac:dyDescent="0.25">
      <c r="A32" s="52" t="s">
        <v>34</v>
      </c>
      <c r="B32" s="14">
        <v>100000</v>
      </c>
      <c r="C32" s="15" t="s">
        <v>16</v>
      </c>
      <c r="D32" s="16">
        <v>100000</v>
      </c>
      <c r="E32" s="17">
        <v>100000</v>
      </c>
      <c r="F32" s="46">
        <f>(E32+E33+E34)/($E$64-$E$16)</f>
        <v>5.434782608695652E-2</v>
      </c>
      <c r="G32" s="9">
        <v>100000</v>
      </c>
      <c r="H32" s="9">
        <v>100000</v>
      </c>
      <c r="I32" s="11">
        <f t="shared" si="1"/>
        <v>0</v>
      </c>
      <c r="J32" s="37">
        <v>4693.62</v>
      </c>
      <c r="K32" s="37">
        <v>2717.39</v>
      </c>
      <c r="L32" s="37"/>
      <c r="M32" s="12">
        <f>((E32+E33+E34)-(J32+K32+L32))/($G$64-$G$16)</f>
        <v>5.4347825916496985E-2</v>
      </c>
    </row>
    <row r="33" spans="1:13" x14ac:dyDescent="0.25">
      <c r="A33" s="13" t="s">
        <v>34</v>
      </c>
      <c r="B33" s="14">
        <v>50000</v>
      </c>
      <c r="C33" s="15" t="s">
        <v>15</v>
      </c>
      <c r="D33" s="16">
        <v>50000</v>
      </c>
      <c r="E33" s="17">
        <v>50000</v>
      </c>
      <c r="F33" s="12"/>
      <c r="G33" s="9">
        <v>50000</v>
      </c>
      <c r="H33" s="9">
        <v>50000</v>
      </c>
      <c r="I33" s="11">
        <f t="shared" si="1"/>
        <v>0</v>
      </c>
      <c r="J33" s="37"/>
      <c r="K33" s="37"/>
      <c r="L33" s="37"/>
      <c r="M33" s="12"/>
    </row>
    <row r="34" spans="1:13" x14ac:dyDescent="0.25">
      <c r="A34" s="13" t="s">
        <v>34</v>
      </c>
      <c r="B34" s="14">
        <v>100000</v>
      </c>
      <c r="C34" s="15" t="s">
        <v>21</v>
      </c>
      <c r="D34" s="16">
        <v>100000</v>
      </c>
      <c r="E34" s="17">
        <v>100000</v>
      </c>
      <c r="F34" s="12"/>
      <c r="G34" s="9">
        <v>100000</v>
      </c>
      <c r="H34" s="9">
        <v>100000</v>
      </c>
      <c r="I34" s="11">
        <f t="shared" si="1"/>
        <v>0</v>
      </c>
      <c r="J34" s="37"/>
      <c r="K34" s="37"/>
      <c r="L34" s="37"/>
      <c r="M34" s="12"/>
    </row>
    <row r="35" spans="1:13" x14ac:dyDescent="0.25">
      <c r="A35" s="52" t="s">
        <v>22</v>
      </c>
      <c r="B35" s="14">
        <v>250000</v>
      </c>
      <c r="C35" s="15" t="s">
        <v>16</v>
      </c>
      <c r="D35" s="16">
        <v>250000</v>
      </c>
      <c r="E35" s="17">
        <v>250000</v>
      </c>
      <c r="F35" s="46">
        <f>(E35+E36)/($E$64-$E$16)</f>
        <v>6.5217391304347824E-2</v>
      </c>
      <c r="G35" s="9">
        <v>250000</v>
      </c>
      <c r="H35" s="9">
        <v>250000</v>
      </c>
      <c r="I35" s="11">
        <f t="shared" si="1"/>
        <v>0</v>
      </c>
      <c r="J35" s="37">
        <v>5632.34</v>
      </c>
      <c r="K35" s="37">
        <v>3260.87</v>
      </c>
      <c r="L35" s="37"/>
      <c r="M35" s="12">
        <f>((E35+E36)-(J35+K35+L35))/($G$64-$G$16)</f>
        <v>6.521739154786145E-2</v>
      </c>
    </row>
    <row r="36" spans="1:13" x14ac:dyDescent="0.25">
      <c r="A36" s="13" t="s">
        <v>22</v>
      </c>
      <c r="B36" s="14">
        <v>50000</v>
      </c>
      <c r="C36" s="15" t="s">
        <v>21</v>
      </c>
      <c r="D36" s="60">
        <v>50000</v>
      </c>
      <c r="E36" s="61">
        <v>50000</v>
      </c>
      <c r="F36" s="12"/>
      <c r="G36" s="9">
        <v>50000</v>
      </c>
      <c r="H36" s="9">
        <v>50000</v>
      </c>
      <c r="I36" s="11">
        <f t="shared" si="1"/>
        <v>0</v>
      </c>
      <c r="J36" s="37"/>
      <c r="K36" s="37"/>
      <c r="L36" s="37"/>
      <c r="M36" s="12"/>
    </row>
    <row r="37" spans="1:13" x14ac:dyDescent="0.25">
      <c r="A37" s="52" t="s">
        <v>33</v>
      </c>
      <c r="B37" s="14">
        <v>100000</v>
      </c>
      <c r="C37" s="15" t="s">
        <v>16</v>
      </c>
      <c r="D37" s="16">
        <v>100000</v>
      </c>
      <c r="E37" s="17">
        <v>100000</v>
      </c>
      <c r="F37" s="46">
        <f>(E37+E38)/($E$64-$E$16)</f>
        <v>3.2608695652173912E-2</v>
      </c>
      <c r="G37" s="9">
        <v>100000</v>
      </c>
      <c r="H37" s="9">
        <v>100000</v>
      </c>
      <c r="I37" s="11">
        <f t="shared" si="1"/>
        <v>0</v>
      </c>
      <c r="J37" s="37">
        <v>2816.17</v>
      </c>
      <c r="K37" s="37">
        <v>1630.43</v>
      </c>
      <c r="L37" s="37"/>
      <c r="M37" s="12">
        <f>((E37+E38)-(J37+K37+L37))/($G$64-$G$16)</f>
        <v>3.2608696894093389E-2</v>
      </c>
    </row>
    <row r="38" spans="1:13" x14ac:dyDescent="0.25">
      <c r="A38" s="13" t="s">
        <v>33</v>
      </c>
      <c r="B38" s="14">
        <v>50000</v>
      </c>
      <c r="C38" s="15" t="s">
        <v>15</v>
      </c>
      <c r="D38" s="16">
        <v>50000</v>
      </c>
      <c r="E38" s="17">
        <v>50000</v>
      </c>
      <c r="F38" s="12"/>
      <c r="G38" s="9">
        <v>50000</v>
      </c>
      <c r="H38" s="9">
        <v>50000</v>
      </c>
      <c r="I38" s="11">
        <f t="shared" si="1"/>
        <v>0</v>
      </c>
      <c r="J38" s="37"/>
      <c r="K38" s="37"/>
      <c r="L38" s="37"/>
      <c r="M38" s="12"/>
    </row>
    <row r="39" spans="1:13" x14ac:dyDescent="0.25">
      <c r="A39" s="52" t="s">
        <v>32</v>
      </c>
      <c r="B39" s="14">
        <v>150000</v>
      </c>
      <c r="C39" s="15" t="s">
        <v>16</v>
      </c>
      <c r="D39" s="16">
        <v>150000</v>
      </c>
      <c r="E39" s="17">
        <v>150000</v>
      </c>
      <c r="F39" s="46">
        <f>(E39)/($E$64-$E$16)</f>
        <v>3.2608695652173912E-2</v>
      </c>
      <c r="G39" s="9">
        <v>150000</v>
      </c>
      <c r="H39" s="9">
        <v>150000</v>
      </c>
      <c r="I39" s="11">
        <f t="shared" si="1"/>
        <v>0</v>
      </c>
      <c r="J39" s="37">
        <v>2816.17</v>
      </c>
      <c r="K39" s="37">
        <f>F39*$I$55</f>
        <v>1630.4347826086955</v>
      </c>
      <c r="L39" s="37"/>
      <c r="M39" s="12">
        <f>((E39)-(J39+K39+L39))/($G$64-$G$16)</f>
        <v>3.2608695822633454E-2</v>
      </c>
    </row>
    <row r="40" spans="1:13" x14ac:dyDescent="0.25">
      <c r="A40" s="52" t="s">
        <v>31</v>
      </c>
      <c r="B40" s="14">
        <v>150000</v>
      </c>
      <c r="C40" s="15" t="s">
        <v>16</v>
      </c>
      <c r="D40" s="16">
        <v>150000</v>
      </c>
      <c r="E40" s="17">
        <v>150000</v>
      </c>
      <c r="F40" s="46">
        <f>(E40+E41)/($E$64-$E$16)</f>
        <v>4.3478260869565216E-2</v>
      </c>
      <c r="G40" s="9">
        <v>150000</v>
      </c>
      <c r="H40" s="9">
        <v>150000</v>
      </c>
      <c r="I40" s="11">
        <f t="shared" si="1"/>
        <v>0</v>
      </c>
      <c r="J40" s="37">
        <v>3754.89</v>
      </c>
      <c r="K40" s="37">
        <v>2173.92</v>
      </c>
      <c r="L40" s="37"/>
      <c r="M40" s="12">
        <f>((E40+E41)-(J40+K40+L40))/($G$64-$G$16)</f>
        <v>4.3478260285132526E-2</v>
      </c>
    </row>
    <row r="41" spans="1:13" x14ac:dyDescent="0.25">
      <c r="A41" s="13" t="s">
        <v>31</v>
      </c>
      <c r="B41" s="14">
        <v>50000</v>
      </c>
      <c r="C41" s="15" t="s">
        <v>15</v>
      </c>
      <c r="D41" s="16">
        <v>50000</v>
      </c>
      <c r="E41" s="17">
        <v>50000</v>
      </c>
      <c r="F41" s="12"/>
      <c r="G41" s="9">
        <v>50000</v>
      </c>
      <c r="H41" s="9">
        <v>50000</v>
      </c>
      <c r="I41" s="11">
        <f t="shared" si="1"/>
        <v>0</v>
      </c>
      <c r="J41" s="37"/>
      <c r="K41" s="37"/>
      <c r="L41" s="37"/>
      <c r="M41" s="12"/>
    </row>
    <row r="42" spans="1:13" x14ac:dyDescent="0.25">
      <c r="A42" s="52" t="s">
        <v>30</v>
      </c>
      <c r="B42" s="14">
        <v>150000</v>
      </c>
      <c r="C42" s="15" t="s">
        <v>16</v>
      </c>
      <c r="D42" s="16">
        <v>150000</v>
      </c>
      <c r="E42" s="17">
        <v>150000</v>
      </c>
      <c r="F42" s="46">
        <f>(E42+E43+E44)/($E$64-$E$16)</f>
        <v>5.434782608695652E-2</v>
      </c>
      <c r="G42" s="9">
        <v>150000</v>
      </c>
      <c r="H42" s="9">
        <v>150000</v>
      </c>
      <c r="I42" s="11">
        <f t="shared" si="1"/>
        <v>0</v>
      </c>
      <c r="J42" s="37">
        <v>4693.62</v>
      </c>
      <c r="K42" s="37">
        <v>2717.39</v>
      </c>
      <c r="L42" s="37"/>
      <c r="M42" s="12">
        <f>((E42+E43+E44)-(J42+K42+L42))/($G$64-$G$16)</f>
        <v>5.4347825916496985E-2</v>
      </c>
    </row>
    <row r="43" spans="1:13" x14ac:dyDescent="0.25">
      <c r="A43" s="13" t="s">
        <v>30</v>
      </c>
      <c r="B43" s="14">
        <v>50000</v>
      </c>
      <c r="C43" s="15" t="s">
        <v>18</v>
      </c>
      <c r="D43" s="16">
        <v>50000</v>
      </c>
      <c r="E43" s="17">
        <v>50000</v>
      </c>
      <c r="F43" s="12"/>
      <c r="G43" s="9">
        <v>50000</v>
      </c>
      <c r="H43" s="9">
        <v>50000</v>
      </c>
      <c r="I43" s="11">
        <f t="shared" si="1"/>
        <v>0</v>
      </c>
      <c r="J43" s="37"/>
      <c r="K43" s="37"/>
      <c r="L43" s="37"/>
      <c r="M43" s="12"/>
    </row>
    <row r="44" spans="1:13" x14ac:dyDescent="0.25">
      <c r="A44" s="13" t="s">
        <v>30</v>
      </c>
      <c r="B44" s="14">
        <v>50000</v>
      </c>
      <c r="C44" s="15" t="s">
        <v>11</v>
      </c>
      <c r="D44" s="16">
        <v>50000</v>
      </c>
      <c r="E44" s="17">
        <v>50000</v>
      </c>
      <c r="F44" s="12"/>
      <c r="G44" s="9">
        <v>50000</v>
      </c>
      <c r="H44" s="9">
        <v>50000</v>
      </c>
      <c r="I44" s="11">
        <f t="shared" si="1"/>
        <v>0</v>
      </c>
      <c r="J44" s="37"/>
      <c r="K44" s="37"/>
      <c r="L44" s="37"/>
      <c r="M44" s="12"/>
    </row>
    <row r="45" spans="1:13" x14ac:dyDescent="0.25">
      <c r="A45" s="52" t="s">
        <v>29</v>
      </c>
      <c r="B45" s="14">
        <v>50000</v>
      </c>
      <c r="C45" s="15"/>
      <c r="D45" s="16"/>
      <c r="E45" s="17"/>
      <c r="F45" s="12"/>
      <c r="G45" s="9">
        <v>0</v>
      </c>
      <c r="H45" s="9">
        <v>0</v>
      </c>
      <c r="I45" s="11">
        <f t="shared" si="1"/>
        <v>0</v>
      </c>
      <c r="J45" s="37"/>
      <c r="K45" s="37"/>
      <c r="L45" s="37"/>
      <c r="M45" s="12"/>
    </row>
    <row r="46" spans="1:13" x14ac:dyDescent="0.25">
      <c r="A46" s="13" t="s">
        <v>29</v>
      </c>
      <c r="B46" s="14">
        <v>100000</v>
      </c>
      <c r="C46" s="15" t="s">
        <v>19</v>
      </c>
      <c r="D46" s="16">
        <v>100000</v>
      </c>
      <c r="E46" s="17">
        <v>100000</v>
      </c>
      <c r="F46" s="46">
        <f>(E46)/($E$64-$E$16)</f>
        <v>2.1739130434782608E-2</v>
      </c>
      <c r="G46" s="9">
        <v>100000</v>
      </c>
      <c r="H46" s="9">
        <v>100000</v>
      </c>
      <c r="I46" s="11">
        <f t="shared" si="1"/>
        <v>0</v>
      </c>
      <c r="J46" s="37">
        <v>1877.44</v>
      </c>
      <c r="K46" s="37">
        <v>1086.96</v>
      </c>
      <c r="L46" s="37"/>
      <c r="M46" s="12">
        <f>((E46)-(J46+K46+L46))/($G$64-$G$16)</f>
        <v>2.1739131262728931E-2</v>
      </c>
    </row>
    <row r="47" spans="1:13" x14ac:dyDescent="0.25">
      <c r="A47" s="52" t="s">
        <v>28</v>
      </c>
      <c r="B47" s="14">
        <v>100000</v>
      </c>
      <c r="C47" s="15" t="s">
        <v>16</v>
      </c>
      <c r="D47" s="16">
        <v>100000</v>
      </c>
      <c r="E47" s="17">
        <v>100000</v>
      </c>
      <c r="F47" s="46">
        <f>(E47+E48+E49)/($E$64-$E$16)</f>
        <v>5.434782608695652E-2</v>
      </c>
      <c r="G47" s="9">
        <v>100000</v>
      </c>
      <c r="H47" s="9">
        <v>100000</v>
      </c>
      <c r="I47" s="11">
        <f t="shared" si="1"/>
        <v>0</v>
      </c>
      <c r="J47" s="37">
        <v>4693.62</v>
      </c>
      <c r="K47" s="37">
        <f>F47*$I$55</f>
        <v>2717.391304347826</v>
      </c>
      <c r="L47" s="37"/>
      <c r="M47" s="12">
        <f>((E47+E48+E49)-(J47+K47+L47))/($G$64-$G$16)</f>
        <v>5.4347825624280643E-2</v>
      </c>
    </row>
    <row r="48" spans="1:13" x14ac:dyDescent="0.25">
      <c r="A48" s="13" t="s">
        <v>28</v>
      </c>
      <c r="B48" s="14">
        <v>100000</v>
      </c>
      <c r="C48" s="15" t="s">
        <v>15</v>
      </c>
      <c r="D48" s="16">
        <v>100000</v>
      </c>
      <c r="E48" s="17">
        <v>100000</v>
      </c>
      <c r="F48" s="12"/>
      <c r="G48" s="9">
        <v>100000</v>
      </c>
      <c r="H48" s="9">
        <v>100000</v>
      </c>
      <c r="I48" s="11">
        <f t="shared" si="1"/>
        <v>0</v>
      </c>
      <c r="J48" s="37"/>
      <c r="K48" s="37"/>
      <c r="L48" s="37"/>
      <c r="M48" s="12"/>
    </row>
    <row r="49" spans="1:13" x14ac:dyDescent="0.25">
      <c r="A49" s="13" t="s">
        <v>28</v>
      </c>
      <c r="B49" s="14">
        <v>50000</v>
      </c>
      <c r="C49" s="49" t="s">
        <v>21</v>
      </c>
      <c r="D49" s="16">
        <v>50000</v>
      </c>
      <c r="E49" s="17">
        <v>50000</v>
      </c>
      <c r="F49" s="12"/>
      <c r="G49" s="9">
        <f>50000-36362.57</f>
        <v>13637.43</v>
      </c>
      <c r="H49" s="9">
        <v>13637.43</v>
      </c>
      <c r="I49" s="11">
        <f t="shared" si="1"/>
        <v>36362.57</v>
      </c>
      <c r="J49" s="37"/>
      <c r="K49" s="37"/>
      <c r="L49" s="37"/>
      <c r="M49" s="12"/>
    </row>
    <row r="50" spans="1:13" x14ac:dyDescent="0.25">
      <c r="A50" s="52" t="s">
        <v>27</v>
      </c>
      <c r="B50" s="14">
        <v>150000</v>
      </c>
      <c r="C50" s="15" t="s">
        <v>16</v>
      </c>
      <c r="D50" s="16">
        <v>150000</v>
      </c>
      <c r="E50" s="17">
        <v>150000</v>
      </c>
      <c r="F50" s="46">
        <f>(E50+E51+E52)/($E$64-$E$16)</f>
        <v>5.434782608695652E-2</v>
      </c>
      <c r="G50" s="9">
        <v>150000</v>
      </c>
      <c r="H50" s="9">
        <v>150000</v>
      </c>
      <c r="I50" s="11">
        <f t="shared" si="1"/>
        <v>0</v>
      </c>
      <c r="J50" s="37">
        <v>4693.62</v>
      </c>
      <c r="K50" s="37">
        <v>2717.39</v>
      </c>
      <c r="L50" s="37"/>
      <c r="M50" s="12">
        <f>((E50+E51+E52)-(J50+K50+L50))/($G$64-$G$16)</f>
        <v>5.4347825916496985E-2</v>
      </c>
    </row>
    <row r="51" spans="1:13" x14ac:dyDescent="0.25">
      <c r="A51" s="13" t="s">
        <v>27</v>
      </c>
      <c r="B51" s="14">
        <v>50000</v>
      </c>
      <c r="C51" s="15" t="s">
        <v>17</v>
      </c>
      <c r="D51" s="16">
        <v>50000</v>
      </c>
      <c r="E51" s="17">
        <v>50000</v>
      </c>
      <c r="F51" s="12"/>
      <c r="G51" s="9">
        <v>50000</v>
      </c>
      <c r="H51" s="9">
        <v>50000</v>
      </c>
      <c r="I51" s="11">
        <f t="shared" si="1"/>
        <v>0</v>
      </c>
      <c r="J51" s="37"/>
      <c r="K51" s="37"/>
      <c r="L51" s="37"/>
      <c r="M51" s="12"/>
    </row>
    <row r="52" spans="1:13" x14ac:dyDescent="0.25">
      <c r="A52" s="13" t="s">
        <v>27</v>
      </c>
      <c r="B52" s="14">
        <v>50000</v>
      </c>
      <c r="C52" s="15" t="s">
        <v>15</v>
      </c>
      <c r="D52" s="16">
        <v>50000</v>
      </c>
      <c r="E52" s="17">
        <v>50000</v>
      </c>
      <c r="F52" s="12"/>
      <c r="G52" s="9">
        <v>50000</v>
      </c>
      <c r="H52" s="9">
        <v>50000</v>
      </c>
      <c r="I52" s="11">
        <f t="shared" si="1"/>
        <v>0</v>
      </c>
      <c r="J52" s="37"/>
      <c r="K52" s="37"/>
      <c r="L52" s="37"/>
      <c r="M52" s="12"/>
    </row>
    <row r="53" spans="1:13" x14ac:dyDescent="0.25">
      <c r="A53" s="52" t="s">
        <v>26</v>
      </c>
      <c r="B53" s="14">
        <v>50000</v>
      </c>
      <c r="C53" s="15" t="s">
        <v>18</v>
      </c>
      <c r="D53" s="16">
        <v>50000</v>
      </c>
      <c r="E53" s="17">
        <v>50000</v>
      </c>
      <c r="F53" s="46">
        <f>(E53+E54+E55)/($E$64-$E$16)</f>
        <v>3.2608695652173912E-2</v>
      </c>
      <c r="G53" s="9">
        <v>50000</v>
      </c>
      <c r="H53" s="9">
        <v>50000</v>
      </c>
      <c r="I53" s="11">
        <f t="shared" si="1"/>
        <v>0</v>
      </c>
      <c r="J53" s="37">
        <v>2816.17</v>
      </c>
      <c r="K53" s="37">
        <v>1630.43</v>
      </c>
      <c r="L53" s="37"/>
      <c r="M53" s="12">
        <f>((E53+E54+E55)-(J53+K53+L53))/($G$64-$G$16)</f>
        <v>3.2608696894093389E-2</v>
      </c>
    </row>
    <row r="54" spans="1:13" x14ac:dyDescent="0.25">
      <c r="A54" s="13" t="s">
        <v>26</v>
      </c>
      <c r="B54" s="14">
        <v>50000</v>
      </c>
      <c r="C54" s="15" t="s">
        <v>16</v>
      </c>
      <c r="D54" s="16">
        <v>50000</v>
      </c>
      <c r="E54" s="17">
        <v>50000</v>
      </c>
      <c r="F54" s="12"/>
      <c r="G54" s="9">
        <v>50000</v>
      </c>
      <c r="H54" s="9">
        <v>50000</v>
      </c>
      <c r="I54" s="11">
        <f t="shared" si="1"/>
        <v>0</v>
      </c>
      <c r="J54" s="37"/>
      <c r="K54" s="37"/>
      <c r="L54" s="37"/>
      <c r="M54" s="12"/>
    </row>
    <row r="55" spans="1:13" x14ac:dyDescent="0.25">
      <c r="A55" s="13" t="s">
        <v>26</v>
      </c>
      <c r="B55" s="14">
        <v>50000</v>
      </c>
      <c r="C55" s="49" t="s">
        <v>10</v>
      </c>
      <c r="D55" s="16">
        <v>50000</v>
      </c>
      <c r="E55" s="17">
        <v>50000</v>
      </c>
      <c r="F55" s="12"/>
      <c r="G55" s="9"/>
      <c r="H55" s="9"/>
      <c r="I55" s="11">
        <f t="shared" si="1"/>
        <v>50000</v>
      </c>
      <c r="J55" s="37"/>
      <c r="K55" s="37"/>
      <c r="L55" s="37"/>
      <c r="M55" s="12"/>
    </row>
    <row r="56" spans="1:13" x14ac:dyDescent="0.25">
      <c r="A56" s="52" t="s">
        <v>25</v>
      </c>
      <c r="B56" s="14">
        <v>150000</v>
      </c>
      <c r="C56" s="15" t="s">
        <v>16</v>
      </c>
      <c r="D56" s="16">
        <v>150000</v>
      </c>
      <c r="E56" s="17">
        <v>150000</v>
      </c>
      <c r="F56" s="46">
        <f>(E56+E57+E58)/($E$64-$E$16)</f>
        <v>5.434782608695652E-2</v>
      </c>
      <c r="G56" s="9">
        <v>150000</v>
      </c>
      <c r="H56" s="9">
        <v>150000</v>
      </c>
      <c r="I56" s="11">
        <f t="shared" si="1"/>
        <v>0</v>
      </c>
      <c r="J56" s="37">
        <v>4693.62</v>
      </c>
      <c r="K56" s="37">
        <v>2717.39</v>
      </c>
      <c r="L56" s="37"/>
      <c r="M56" s="12">
        <f>((E56+E57+E58)-(J56+K56+L56))/($G$64-$G$16)</f>
        <v>5.4347825916496985E-2</v>
      </c>
    </row>
    <row r="57" spans="1:13" x14ac:dyDescent="0.25">
      <c r="A57" s="13" t="s">
        <v>25</v>
      </c>
      <c r="B57" s="14">
        <v>50000</v>
      </c>
      <c r="C57" s="15" t="s">
        <v>18</v>
      </c>
      <c r="D57" s="16">
        <v>50000</v>
      </c>
      <c r="E57" s="17">
        <v>50000</v>
      </c>
      <c r="F57" s="12"/>
      <c r="G57" s="9">
        <v>50000</v>
      </c>
      <c r="H57" s="9">
        <v>50000</v>
      </c>
      <c r="I57" s="11">
        <f t="shared" si="1"/>
        <v>0</v>
      </c>
      <c r="J57" s="37"/>
      <c r="K57" s="37"/>
      <c r="L57" s="37"/>
      <c r="M57" s="12"/>
    </row>
    <row r="58" spans="1:13" x14ac:dyDescent="0.25">
      <c r="A58" s="13" t="s">
        <v>25</v>
      </c>
      <c r="B58" s="14">
        <v>50000</v>
      </c>
      <c r="C58" s="49" t="s">
        <v>21</v>
      </c>
      <c r="D58" s="16">
        <v>50000</v>
      </c>
      <c r="E58" s="17">
        <v>50000</v>
      </c>
      <c r="F58" s="12"/>
      <c r="G58" s="9"/>
      <c r="H58" s="9"/>
      <c r="I58" s="11">
        <f t="shared" si="1"/>
        <v>50000</v>
      </c>
      <c r="J58" s="37"/>
      <c r="K58" s="37"/>
      <c r="L58" s="37"/>
      <c r="M58" s="12"/>
    </row>
    <row r="59" spans="1:13" x14ac:dyDescent="0.25">
      <c r="A59" s="52" t="s">
        <v>24</v>
      </c>
      <c r="B59" s="14">
        <v>300000</v>
      </c>
      <c r="C59" s="15" t="s">
        <v>16</v>
      </c>
      <c r="D59" s="16">
        <v>300000</v>
      </c>
      <c r="E59" s="17">
        <v>300000</v>
      </c>
      <c r="F59" s="46">
        <f>(E59)/($E$64-$E$16)</f>
        <v>6.5217391304347824E-2</v>
      </c>
      <c r="G59" s="9">
        <v>300000</v>
      </c>
      <c r="H59" s="9">
        <v>300000</v>
      </c>
      <c r="I59" s="11">
        <f t="shared" si="1"/>
        <v>0</v>
      </c>
      <c r="J59" s="37">
        <v>5632.34</v>
      </c>
      <c r="K59" s="37">
        <v>3260.87</v>
      </c>
      <c r="L59" s="37"/>
      <c r="M59" s="12">
        <f>((E59)-(J59+K59+L59))/($G$64-$G$16)</f>
        <v>6.521739154786145E-2</v>
      </c>
    </row>
    <row r="60" spans="1:13" x14ac:dyDescent="0.25">
      <c r="A60" s="13"/>
      <c r="B60" s="14"/>
      <c r="C60" s="15"/>
      <c r="D60" s="16"/>
      <c r="E60" s="17"/>
      <c r="F60" s="12"/>
      <c r="G60" s="9"/>
      <c r="H60" s="9"/>
      <c r="I60" s="11"/>
      <c r="J60" s="37"/>
      <c r="K60" s="37"/>
      <c r="L60" s="37"/>
      <c r="M60" s="12"/>
    </row>
    <row r="61" spans="1:13" x14ac:dyDescent="0.25">
      <c r="A61" s="13"/>
      <c r="B61" s="14"/>
      <c r="C61" s="15"/>
      <c r="D61" s="16"/>
      <c r="E61" s="17"/>
      <c r="F61" s="12"/>
      <c r="G61" s="9"/>
      <c r="H61" s="9"/>
      <c r="I61" s="11"/>
      <c r="J61" s="37"/>
      <c r="K61" s="37"/>
      <c r="L61" s="37"/>
      <c r="M61" s="12"/>
    </row>
    <row r="62" spans="1:13" x14ac:dyDescent="0.25">
      <c r="A62" s="13"/>
      <c r="B62" s="14"/>
      <c r="C62" s="15"/>
      <c r="D62" s="16"/>
      <c r="E62" s="17"/>
      <c r="F62" s="12"/>
      <c r="G62" s="9"/>
      <c r="H62" s="9"/>
      <c r="I62" s="11"/>
      <c r="J62" s="37"/>
      <c r="K62" s="37"/>
      <c r="L62" s="37"/>
      <c r="M62" s="12"/>
    </row>
    <row r="63" spans="1:13" x14ac:dyDescent="0.25">
      <c r="A63" s="29"/>
      <c r="B63" s="14"/>
      <c r="C63" s="15"/>
      <c r="D63" s="16"/>
      <c r="E63" s="17"/>
      <c r="F63" s="12"/>
      <c r="G63" s="9"/>
      <c r="H63" s="10"/>
      <c r="I63" s="11"/>
      <c r="J63" s="37"/>
      <c r="K63" s="37"/>
      <c r="L63" s="37"/>
      <c r="M63" s="12"/>
    </row>
    <row r="64" spans="1:13" x14ac:dyDescent="0.25">
      <c r="A64" s="29"/>
      <c r="B64" s="55">
        <f>SUM(B9:B63)</f>
        <v>4800000</v>
      </c>
      <c r="C64" s="30"/>
      <c r="D64" s="18">
        <f t="shared" ref="D64:M64" si="2">SUM(D9:D63)</f>
        <v>4750000</v>
      </c>
      <c r="E64" s="18">
        <f t="shared" si="2"/>
        <v>4750000</v>
      </c>
      <c r="F64" s="31">
        <f t="shared" si="2"/>
        <v>1.0000000000000002</v>
      </c>
      <c r="G64" s="32">
        <f t="shared" si="2"/>
        <v>4613637.43</v>
      </c>
      <c r="H64" s="32">
        <f t="shared" si="2"/>
        <v>4613637.43</v>
      </c>
      <c r="I64" s="32">
        <f t="shared" si="2"/>
        <v>136362.57</v>
      </c>
      <c r="J64" s="32">
        <f t="shared" si="2"/>
        <v>86362.569999999992</v>
      </c>
      <c r="K64" s="32">
        <f t="shared" si="2"/>
        <v>49999.996086956518</v>
      </c>
      <c r="L64" s="32">
        <f t="shared" si="2"/>
        <v>0</v>
      </c>
      <c r="M64" s="19">
        <f t="shared" si="2"/>
        <v>1.0000000008766494</v>
      </c>
    </row>
    <row r="65" spans="1:13" x14ac:dyDescent="0.25">
      <c r="A65" s="33" t="s">
        <v>12</v>
      </c>
      <c r="B65" s="38"/>
      <c r="C65" s="25"/>
      <c r="D65" s="28"/>
      <c r="E65" s="38"/>
      <c r="F65" s="48"/>
      <c r="G65" s="28"/>
      <c r="H65" s="38"/>
      <c r="I65" s="38"/>
      <c r="J65" s="28"/>
      <c r="K65" s="28"/>
      <c r="L65" s="28"/>
      <c r="M65" s="28"/>
    </row>
    <row r="66" spans="1:13" s="67" customFormat="1" x14ac:dyDescent="0.25">
      <c r="A66" s="68" t="s">
        <v>50</v>
      </c>
      <c r="B66" s="64"/>
      <c r="C66" s="65"/>
      <c r="D66" s="64"/>
      <c r="E66" s="64"/>
      <c r="F66" s="54"/>
      <c r="G66" s="51"/>
      <c r="H66" s="51"/>
      <c r="I66" s="51"/>
      <c r="J66" s="66"/>
    </row>
    <row r="67" spans="1:13" ht="15" customHeight="1" x14ac:dyDescent="0.25">
      <c r="A67" s="73" t="s">
        <v>45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3" x14ac:dyDescent="0.25">
      <c r="A68" s="3" t="s">
        <v>47</v>
      </c>
    </row>
    <row r="69" spans="1:13" x14ac:dyDescent="0.25">
      <c r="A69" s="63" t="s">
        <v>49</v>
      </c>
    </row>
  </sheetData>
  <sheetProtection sheet="1" objects="1" scenarios="1"/>
  <autoFilter ref="A8:J59" xr:uid="{729FCAE5-B219-41EC-A56F-E0C054757B00}">
    <sortState xmlns:xlrd2="http://schemas.microsoft.com/office/spreadsheetml/2017/richdata2" ref="A10:J16">
      <sortCondition ref="A8:A16"/>
    </sortState>
  </autoFilter>
  <mergeCells count="3">
    <mergeCell ref="A1:B1"/>
    <mergeCell ref="J7:L7"/>
    <mergeCell ref="A67:K67"/>
  </mergeCells>
  <conditionalFormatting sqref="B64">
    <cfRule type="cellIs" dxfId="0" priority="1" stopIfTrue="1" operator="notEqual">
      <formula>$E$64</formula>
    </cfRule>
  </conditionalFormatting>
  <pageMargins left="0.18" right="7.0000000000000007E-2" top="0.75" bottom="0.75" header="0.3" footer="0.3"/>
  <pageSetup paperSize="3" scale="9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TPF5375-FINAL</vt:lpstr>
      <vt:lpstr>'TPF5375-FINAL'!Print_Area</vt:lpstr>
      <vt:lpstr>'TPF5375-FINAL'!Print_Titles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2025-06-27T01:49:56Z</cp:lastPrinted>
  <dcterms:created xsi:type="dcterms:W3CDTF">2011-08-11T15:02:45Z</dcterms:created>
  <dcterms:modified xsi:type="dcterms:W3CDTF">2025-07-03T15:35:56Z</dcterms:modified>
</cp:coreProperties>
</file>