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charts/chart6.xml" ContentType="application/vnd.openxmlformats-officedocument.drawingml.chart+xml"/>
  <Override PartName="/xl/charts/style5.xml" ContentType="application/vnd.ms-office.chartstyle+xml"/>
  <Override PartName="/xl/charts/colors5.xml" ContentType="application/vnd.ms-office.chartcolorstyle+xml"/>
  <Override PartName="/xl/charts/chart7.xml" ContentType="application/vnd.openxmlformats-officedocument.drawingml.chart+xml"/>
  <Override PartName="/xl/charts/chart8.xml" ContentType="application/vnd.openxmlformats-officedocument.drawingml.chart+xml"/>
  <Override PartName="/xl/charts/style6.xml" ContentType="application/vnd.ms-office.chartstyle+xml"/>
  <Override PartName="/xl/charts/colors6.xml" ContentType="application/vnd.ms-office.chartcolorstyle+xml"/>
  <Override PartName="/xl/charts/chart9.xml" ContentType="application/vnd.openxmlformats-officedocument.drawingml.chart+xml"/>
  <Override PartName="/xl/charts/style7.xml" ContentType="application/vnd.ms-office.chartstyle+xml"/>
  <Override PartName="/xl/charts/colors7.xml" ContentType="application/vnd.ms-office.chartcolorstyle+xml"/>
  <Override PartName="/xl/charts/chart10.xml" ContentType="application/vnd.openxmlformats-officedocument.drawingml.chart+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charts/chart11.xml" ContentType="application/vnd.openxmlformats-officedocument.drawingml.chart+xml"/>
  <Override PartName="/xl/charts/style8.xml" ContentType="application/vnd.ms-office.chartstyle+xml"/>
  <Override PartName="/xl/charts/colors8.xml" ContentType="application/vnd.ms-office.chartcolorstyle+xml"/>
  <Override PartName="/xl/comments3.xml" ContentType="application/vnd.openxmlformats-officedocument.spreadsheetml.comments+xml"/>
  <Override PartName="/xl/drawings/drawing5.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drawings/drawing6.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drawings/drawing7.xml" ContentType="application/vnd.openxmlformats-officedocument.drawing+xml"/>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codeName="{3D1A710C-6663-3D7B-7F91-EC182F24A4BC}"/>
  <workbookPr codeName="ThisWorkbook"/>
  <mc:AlternateContent xmlns:mc="http://schemas.openxmlformats.org/markup-compatibility/2006">
    <mc:Choice Requires="x15">
      <x15ac:absPath xmlns:x15ac="http://schemas.microsoft.com/office/spreadsheetml/2010/11/ac" url="C:\Users\patricia.sergeson\Downloads\"/>
    </mc:Choice>
  </mc:AlternateContent>
  <xr:revisionPtr revIDLastSave="0" documentId="8_{05FB32DE-28FB-451B-839C-C7CE5890D4AC}" xr6:coauthVersionLast="45" xr6:coauthVersionMax="45" xr10:uidLastSave="{00000000-0000-0000-0000-000000000000}"/>
  <bookViews>
    <workbookView xWindow="-28920" yWindow="-570" windowWidth="29040" windowHeight="15840" tabRatio="856" firstSheet="1" activeTab="1" xr2:uid="{00000000-000D-0000-FFFF-FFFF00000000}"/>
  </bookViews>
  <sheets>
    <sheet name="Intro" sheetId="10" r:id="rId1"/>
    <sheet name="Inputs" sheetId="1" r:id="rId2"/>
    <sheet name="Final Summary" sheetId="5" r:id="rId3"/>
    <sheet name="Map Help" sheetId="2" r:id="rId4"/>
    <sheet name="PB Liquefaction Initiation" sheetId="3" r:id="rId5"/>
    <sheet name="Det Liquefaction Initiation" sheetId="9" r:id="rId6"/>
    <sheet name="PB Settlement" sheetId="7" r:id="rId7"/>
    <sheet name="Det Settlement" sheetId="13" r:id="rId8"/>
    <sheet name="Lateral Spread" sheetId="4" r:id="rId9"/>
    <sheet name="Slope Displacement" sheetId="8" r:id="rId10"/>
    <sheet name="References" sheetId="6" r:id="rId11"/>
    <sheet name="Version Notes" sheetId="26" r:id="rId12"/>
    <sheet name="_Hidden" sheetId="11" state="hidden" r:id="rId13"/>
    <sheet name="_HiddenCopy" sheetId="12" state="hidden" r:id="rId14"/>
  </sheets>
  <definedNames>
    <definedName name="B_T_Method">Inputs!$X$16</definedName>
    <definedName name="Bore_D">'PB Liquefaction Initiation'!$K$4</definedName>
    <definedName name="Bore_Diam">Inputs!$L$17</definedName>
    <definedName name="Class">Inputs!$C$40</definedName>
    <definedName name="CSR_ref_BI">Inputs!$C$50</definedName>
    <definedName name="D">Inputs!$G$6</definedName>
    <definedName name="D_ref_BT">Inputs!$K$51</definedName>
    <definedName name="D_ref_RS">Inputs!$K$50</definedName>
    <definedName name="D50_prob">Inputs!$G$40</definedName>
    <definedName name="design_gw">Inputs!$E$11</definedName>
    <definedName name="Det_BT">'Slope Displacement'!$G$60</definedName>
    <definedName name="Det_Liq_Option">Inputs!$R$21</definedName>
    <definedName name="Det_LS_option">Inputs!$R$22</definedName>
    <definedName name="Det_RS">'Slope Displacement'!$G$29</definedName>
    <definedName name="Det_Settle_Option">Inputs!#REF!</definedName>
    <definedName name="Det_SS_option">Inputs!$R$23</definedName>
    <definedName name="Dh_ref">Inputs!$G$50</definedName>
    <definedName name="Efficiency">'PB Liquefaction Initiation'!$K$3</definedName>
    <definedName name="F15_prob">Inputs!$G$39</definedName>
    <definedName name="first_Nreq_Det_BI">'Det Liquefaction Initiation'!$P$10</definedName>
    <definedName name="first_Nreq_PB_BI">'PB Liquefaction Initiation'!$S$10</definedName>
    <definedName name="first_sub_Det_BI">'Det Liquefaction Initiation'!$A$10</definedName>
    <definedName name="first_sub_PB_BI">'PB Liquefaction Initiation'!$A$10</definedName>
    <definedName name="Fpga">Inputs!$C$37</definedName>
    <definedName name="FPGA_choice">Inputs!$C$42</definedName>
    <definedName name="FPGA_Choice_det">Inputs!$C$66</definedName>
    <definedName name="Fpga_det">Inputs!$C$62</definedName>
    <definedName name="Fpga_method">Inputs!$C$45</definedName>
    <definedName name="Fpga_ref_SS">'Slope Displacement'!$C$13</definedName>
    <definedName name="gw_depth">Inputs!$E$10</definedName>
    <definedName name="Hammer_Eff">Inputs!$L$14</definedName>
    <definedName name="IB_MSF">Inputs!$C$44</definedName>
    <definedName name="int_csr">#REF!</definedName>
    <definedName name="int_drefbt">#REF!</definedName>
    <definedName name="int_drefrs">#REF!</definedName>
    <definedName name="int_lat">#REF!</definedName>
    <definedName name="int_logd">#REF!</definedName>
    <definedName name="int_long">#REF!</definedName>
    <definedName name="int_nreq">#REF!</definedName>
    <definedName name="int_strainc">#REF!</definedName>
    <definedName name="int_strainiy">#REF!</definedName>
    <definedName name="int_tr">#REF!</definedName>
    <definedName name="interpolate_option">Inputs!#REF!</definedName>
    <definedName name="ky_det">Inputs!#REF!</definedName>
    <definedName name="ky_site">Inputs!$K$36</definedName>
    <definedName name="Lat">Inputs!$H$6</definedName>
    <definedName name="Long">Inputs!$J$6</definedName>
    <definedName name="LS_GS_Opt">Inputs!$V$13</definedName>
    <definedName name="Method_BI">Inputs!$S$13</definedName>
    <definedName name="Method_Cetin">Inputs!$Q$13</definedName>
    <definedName name="Mw_det">Inputs!$C$63</definedName>
    <definedName name="Mw_LS_det">Inputs!$G$62</definedName>
    <definedName name="Mw_prob">Inputs!$C$38</definedName>
    <definedName name="Mw_SS_det">Inputs!$K$63</definedName>
    <definedName name="NFACT">Inputs!$L$27</definedName>
    <definedName name="no_liners">Inputs!$L$23</definedName>
    <definedName name="Nreq_ref_Cet">Inputs!$C$51</definedName>
    <definedName name="Option_PL_FSL">Inputs!$Q$16</definedName>
    <definedName name="PE">Inputs!$H$9</definedName>
    <definedName name="Percentile_Liq">Inputs!$C$64</definedName>
    <definedName name="Percentile_LS">Inputs!$G$63</definedName>
    <definedName name="Percentile_Slope">Inputs!$K$61</definedName>
    <definedName name="Percentile_SS">Inputs!$K$64</definedName>
    <definedName name="PGA_det">Inputs!$C$61</definedName>
    <definedName name="PGA_prob">Inputs!$C$36</definedName>
    <definedName name="PGA_SS_det">Inputs!#REF!</definedName>
    <definedName name="R_LS_det">Inputs!$G$61</definedName>
    <definedName name="R_S_Method">Inputs!$V$16</definedName>
    <definedName name="Rod_L">'PB Liquefaction Initiation'!$K$5</definedName>
    <definedName name="Rod_stickup">Inputs!$L$20</definedName>
    <definedName name="S_prob">Inputs!$G$36</definedName>
    <definedName name="Simp_BT">'Slope Displacement'!$C$60</definedName>
    <definedName name="Simp_Liq_option">Inputs!$R$9</definedName>
    <definedName name="Simp_LS_Option">Inputs!$R$10</definedName>
    <definedName name="Simp_RS">'Slope Displacement'!$C$29</definedName>
    <definedName name="simp_settle_option">Inputs!$U$10</definedName>
    <definedName name="Simp_SS_Option">Inputs!$R$11</definedName>
    <definedName name="Strain_Method_C">Inputs!#REF!</definedName>
    <definedName name="Strain_Method_IY">Inputs!#REF!</definedName>
    <definedName name="strain_ref_cetin">Inputs!$C$52</definedName>
    <definedName name="strain_ref_iy">Inputs!$C$53</definedName>
    <definedName name="T15_prob">Inputs!$G$38</definedName>
    <definedName name="Thick">Inputs!$I$10</definedName>
    <definedName name="Tr">Inputs!$H$8</definedName>
    <definedName name="units">Inputs!$C$6</definedName>
    <definedName name="Vs12_prob">Inputs!$C$39</definedName>
    <definedName name="W_prob">Inputs!$G$37</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9" i="1" l="1"/>
  <c r="E8" i="5" l="1"/>
  <c r="F11" i="1"/>
  <c r="C30" i="5"/>
  <c r="C29" i="5"/>
  <c r="C28" i="5"/>
  <c r="C27" i="5"/>
  <c r="C26" i="5"/>
  <c r="C25" i="5"/>
  <c r="C24" i="5"/>
  <c r="C23" i="5"/>
  <c r="C22" i="5"/>
  <c r="C21" i="5"/>
  <c r="C20" i="5"/>
  <c r="C19" i="5"/>
  <c r="C18" i="5"/>
  <c r="C17" i="5"/>
  <c r="C16" i="5"/>
  <c r="C15" i="5"/>
  <c r="C14" i="5"/>
  <c r="C13" i="5"/>
  <c r="C12" i="5"/>
  <c r="C11" i="5"/>
  <c r="W11" i="3" l="1"/>
  <c r="W12" i="3"/>
  <c r="W13" i="3"/>
  <c r="W14" i="3"/>
  <c r="W15" i="3"/>
  <c r="W16" i="3"/>
  <c r="W17" i="3"/>
  <c r="W18" i="3"/>
  <c r="W19" i="3"/>
  <c r="W20" i="3"/>
  <c r="W21" i="3"/>
  <c r="W22" i="3"/>
  <c r="W23" i="3"/>
  <c r="W24" i="3"/>
  <c r="W25" i="3"/>
  <c r="W26" i="3"/>
  <c r="W27" i="3"/>
  <c r="W28" i="3"/>
  <c r="W29" i="3"/>
  <c r="W10" i="3"/>
  <c r="B3" i="13" l="1"/>
  <c r="B3" i="7"/>
  <c r="D8" i="5" l="1"/>
  <c r="W44" i="3"/>
  <c r="W45" i="3"/>
  <c r="W46" i="3"/>
  <c r="W47" i="3"/>
  <c r="W48" i="3"/>
  <c r="W49" i="3"/>
  <c r="W50" i="3"/>
  <c r="W51" i="3"/>
  <c r="W52" i="3"/>
  <c r="W53" i="3"/>
  <c r="W54" i="3"/>
  <c r="W55" i="3"/>
  <c r="W56" i="3"/>
  <c r="W57" i="3"/>
  <c r="W58" i="3"/>
  <c r="W59" i="3"/>
  <c r="W60" i="3"/>
  <c r="W61" i="3"/>
  <c r="W62" i="3"/>
  <c r="W43" i="3"/>
  <c r="B4" i="3"/>
  <c r="AM28" i="5" l="1"/>
  <c r="C20" i="8" l="1"/>
  <c r="C50" i="8" l="1"/>
  <c r="C19" i="8"/>
  <c r="C9" i="4" l="1"/>
  <c r="D16" i="4"/>
  <c r="AM30" i="5" l="1"/>
  <c r="N38" i="1"/>
  <c r="M38" i="1"/>
  <c r="C22" i="8"/>
  <c r="H28" i="8" s="1"/>
  <c r="I28" i="8" s="1"/>
  <c r="C53" i="8"/>
  <c r="H59" i="8" s="1"/>
  <c r="I59" i="8" l="1"/>
  <c r="C6" i="8" l="1"/>
  <c r="AM29" i="5" l="1"/>
  <c r="AM27" i="5"/>
  <c r="C52" i="8"/>
  <c r="C51" i="8"/>
  <c r="C21" i="8"/>
  <c r="G60" i="8" l="1"/>
  <c r="G29" i="8"/>
  <c r="AL38" i="5" s="1"/>
  <c r="AM40" i="5" l="1"/>
  <c r="AI40" i="5"/>
  <c r="AM38" i="5"/>
  <c r="AI38" i="5"/>
  <c r="AJ28" i="5"/>
  <c r="AJ27" i="5"/>
  <c r="AG30" i="5"/>
  <c r="AG31" i="5"/>
  <c r="AG29" i="5"/>
  <c r="AG28" i="5"/>
  <c r="AG27" i="5"/>
  <c r="B2" i="9" l="1"/>
  <c r="C45" i="8" l="1"/>
  <c r="C40" i="8"/>
  <c r="C39" i="8"/>
  <c r="C38" i="8"/>
  <c r="C37" i="8"/>
  <c r="C14" i="8"/>
  <c r="C9" i="8"/>
  <c r="C8" i="8"/>
  <c r="C7" i="8"/>
  <c r="D18" i="4"/>
  <c r="D13" i="4"/>
  <c r="C28" i="8" l="1"/>
  <c r="AL40" i="5"/>
  <c r="C59" i="8"/>
  <c r="C29" i="8" l="1"/>
  <c r="AH38" i="5" s="1"/>
  <c r="C60" i="8"/>
  <c r="AH40" i="5" s="1"/>
  <c r="AJ9" i="5"/>
  <c r="T25" i="5"/>
  <c r="AE25" i="5"/>
  <c r="Z25" i="5"/>
  <c r="O25" i="5"/>
  <c r="A41" i="11"/>
  <c r="A38" i="11"/>
  <c r="B52" i="13" l="1"/>
  <c r="A52" i="13"/>
  <c r="B51" i="13"/>
  <c r="A51" i="13"/>
  <c r="B50" i="13"/>
  <c r="A50" i="13"/>
  <c r="B49" i="13"/>
  <c r="A49" i="13"/>
  <c r="B48" i="13"/>
  <c r="A48" i="13"/>
  <c r="B47" i="13"/>
  <c r="A47" i="13"/>
  <c r="B46" i="13"/>
  <c r="A46" i="13"/>
  <c r="B45" i="13"/>
  <c r="A45" i="13"/>
  <c r="B44" i="13"/>
  <c r="A44" i="13"/>
  <c r="B43" i="13"/>
  <c r="A43" i="13"/>
  <c r="B42" i="13"/>
  <c r="A42" i="13"/>
  <c r="B41" i="13"/>
  <c r="A41" i="13"/>
  <c r="B40" i="13"/>
  <c r="A40" i="13"/>
  <c r="B39" i="13"/>
  <c r="A39" i="13"/>
  <c r="B38" i="13"/>
  <c r="A38" i="13"/>
  <c r="B37" i="13"/>
  <c r="A37" i="13"/>
  <c r="B36" i="13"/>
  <c r="A36" i="13"/>
  <c r="B35" i="13"/>
  <c r="A35" i="13"/>
  <c r="B34" i="13"/>
  <c r="A34" i="13"/>
  <c r="B33" i="13"/>
  <c r="A33" i="13"/>
  <c r="B26" i="13"/>
  <c r="A26" i="13"/>
  <c r="B25" i="13"/>
  <c r="A25" i="13"/>
  <c r="L25" i="13" s="1"/>
  <c r="B24" i="13"/>
  <c r="A24" i="13"/>
  <c r="L24" i="13" s="1"/>
  <c r="B23" i="13"/>
  <c r="A23" i="13"/>
  <c r="L23" i="13" s="1"/>
  <c r="B22" i="13"/>
  <c r="A22" i="13"/>
  <c r="L22" i="13" s="1"/>
  <c r="B21" i="13"/>
  <c r="A21" i="13"/>
  <c r="L21" i="13" s="1"/>
  <c r="B20" i="13"/>
  <c r="A20" i="13"/>
  <c r="L20" i="13" s="1"/>
  <c r="B19" i="13"/>
  <c r="A19" i="13"/>
  <c r="B18" i="13"/>
  <c r="A18" i="13"/>
  <c r="L18" i="13" s="1"/>
  <c r="B17" i="13"/>
  <c r="A17" i="13"/>
  <c r="L17" i="13" s="1"/>
  <c r="B16" i="13"/>
  <c r="A16" i="13"/>
  <c r="B15" i="13"/>
  <c r="A15" i="13"/>
  <c r="L15" i="13" s="1"/>
  <c r="B14" i="13"/>
  <c r="A14" i="13"/>
  <c r="L14" i="13" s="1"/>
  <c r="B13" i="13"/>
  <c r="A13" i="13"/>
  <c r="B12" i="13"/>
  <c r="A12" i="13"/>
  <c r="L12" i="13" s="1"/>
  <c r="B11" i="13"/>
  <c r="A11" i="13"/>
  <c r="B10" i="13"/>
  <c r="A10" i="13"/>
  <c r="L10" i="13" s="1"/>
  <c r="B9" i="13"/>
  <c r="A9" i="13"/>
  <c r="B8" i="13"/>
  <c r="A8" i="13"/>
  <c r="L8" i="13" s="1"/>
  <c r="B7" i="13"/>
  <c r="A7" i="13"/>
  <c r="L7" i="13" s="1"/>
  <c r="C26" i="13" l="1"/>
  <c r="C52" i="13" s="1"/>
  <c r="L16" i="13"/>
  <c r="C25" i="13"/>
  <c r="N25" i="13" s="1"/>
  <c r="C7" i="13"/>
  <c r="C15" i="13"/>
  <c r="C22" i="13"/>
  <c r="N22" i="13" s="1"/>
  <c r="C18" i="13"/>
  <c r="N18" i="13" s="1"/>
  <c r="C24" i="13"/>
  <c r="N24" i="13" s="1"/>
  <c r="C9" i="13"/>
  <c r="C13" i="13"/>
  <c r="C17" i="13"/>
  <c r="C23" i="13"/>
  <c r="N23" i="13" s="1"/>
  <c r="C11" i="13"/>
  <c r="C19" i="13"/>
  <c r="L19" i="13"/>
  <c r="L36" i="13"/>
  <c r="L38" i="13"/>
  <c r="L44" i="13"/>
  <c r="L46" i="13"/>
  <c r="C20" i="13"/>
  <c r="N20" i="13" s="1"/>
  <c r="L41" i="13"/>
  <c r="L49" i="13"/>
  <c r="C8" i="13"/>
  <c r="N8" i="13" s="1"/>
  <c r="L9" i="13"/>
  <c r="C10" i="13"/>
  <c r="L11" i="13"/>
  <c r="C12" i="13"/>
  <c r="L13" i="13"/>
  <c r="C14" i="13"/>
  <c r="N14" i="13" s="1"/>
  <c r="L35" i="13"/>
  <c r="L43" i="13"/>
  <c r="L52" i="13"/>
  <c r="L37" i="13"/>
  <c r="L26" i="13"/>
  <c r="C21" i="13"/>
  <c r="L51" i="13"/>
  <c r="L45" i="13"/>
  <c r="C16" i="13"/>
  <c r="L40" i="13"/>
  <c r="L48" i="13"/>
  <c r="L39" i="13"/>
  <c r="L47" i="13"/>
  <c r="L34" i="13"/>
  <c r="L42" i="13"/>
  <c r="L50" i="13"/>
  <c r="L33" i="13"/>
  <c r="H9" i="1"/>
  <c r="G38" i="5"/>
  <c r="G45" i="5"/>
  <c r="G44" i="5"/>
  <c r="N26" i="13" l="1"/>
  <c r="C51" i="13"/>
  <c r="N51" i="13" s="1"/>
  <c r="N16" i="13"/>
  <c r="N11" i="13"/>
  <c r="N9" i="13"/>
  <c r="N19" i="13"/>
  <c r="C43" i="13"/>
  <c r="C41" i="13"/>
  <c r="C39" i="13"/>
  <c r="C42" i="13"/>
  <c r="C47" i="13"/>
  <c r="N52" i="13"/>
  <c r="N15" i="13"/>
  <c r="C36" i="13"/>
  <c r="C35" i="13"/>
  <c r="N13" i="13"/>
  <c r="C45" i="13"/>
  <c r="C37" i="13"/>
  <c r="C38" i="13"/>
  <c r="C33" i="13"/>
  <c r="N17" i="13"/>
  <c r="C40" i="13"/>
  <c r="C46" i="13"/>
  <c r="C49" i="13"/>
  <c r="N21" i="13"/>
  <c r="C34" i="13"/>
  <c r="N7" i="13"/>
  <c r="C50" i="13"/>
  <c r="C48" i="13"/>
  <c r="N12" i="13"/>
  <c r="C44" i="13"/>
  <c r="N10" i="13"/>
  <c r="G37" i="5"/>
  <c r="G36" i="5"/>
  <c r="G39" i="5"/>
  <c r="R7" i="13" l="1"/>
  <c r="N41" i="13"/>
  <c r="N38" i="13"/>
  <c r="N37" i="13"/>
  <c r="N39" i="13"/>
  <c r="N43" i="13"/>
  <c r="N40" i="13"/>
  <c r="N47" i="13"/>
  <c r="N44" i="13"/>
  <c r="N46" i="13"/>
  <c r="N45" i="13"/>
  <c r="N42" i="13"/>
  <c r="N33" i="13"/>
  <c r="N35" i="13"/>
  <c r="N48" i="13"/>
  <c r="N50" i="13"/>
  <c r="N34" i="13"/>
  <c r="N49" i="13"/>
  <c r="N36" i="13"/>
  <c r="R33" i="13" l="1"/>
  <c r="L33" i="5" l="1"/>
  <c r="L34" i="5"/>
  <c r="L26" i="5"/>
  <c r="A26" i="7" l="1"/>
  <c r="B10" i="7" l="1"/>
  <c r="B11" i="7"/>
  <c r="B12" i="7"/>
  <c r="B13" i="7"/>
  <c r="B14" i="7"/>
  <c r="B15" i="7"/>
  <c r="B16" i="7"/>
  <c r="B17" i="7"/>
  <c r="B18" i="7"/>
  <c r="B19" i="7"/>
  <c r="B20" i="7"/>
  <c r="B21" i="7"/>
  <c r="B22" i="7"/>
  <c r="B23" i="7"/>
  <c r="B24" i="7"/>
  <c r="B25" i="7"/>
  <c r="B26" i="7"/>
  <c r="B27" i="7"/>
  <c r="B9" i="7"/>
  <c r="B8" i="7"/>
  <c r="B37" i="7" l="1"/>
  <c r="B38" i="7"/>
  <c r="B39" i="7"/>
  <c r="B40" i="7"/>
  <c r="B41" i="7"/>
  <c r="B42" i="7"/>
  <c r="B43" i="7"/>
  <c r="B44" i="7"/>
  <c r="B45" i="7"/>
  <c r="B46" i="7"/>
  <c r="B47" i="7"/>
  <c r="B48" i="7"/>
  <c r="B49" i="7"/>
  <c r="B50" i="7"/>
  <c r="B51" i="7"/>
  <c r="B52" i="7"/>
  <c r="B53" i="7"/>
  <c r="B54" i="7"/>
  <c r="B55" i="7"/>
  <c r="B36" i="7"/>
  <c r="B32" i="7" l="1"/>
  <c r="A51" i="7" l="1"/>
  <c r="Z51" i="7" s="1"/>
  <c r="A52" i="7"/>
  <c r="Z52" i="7" s="1"/>
  <c r="A53" i="7"/>
  <c r="Z53" i="7" s="1"/>
  <c r="A54" i="7"/>
  <c r="Z54" i="7" s="1"/>
  <c r="A55" i="7"/>
  <c r="Z55" i="7" s="1"/>
  <c r="A37" i="7"/>
  <c r="Z37" i="7" s="1"/>
  <c r="A38" i="7"/>
  <c r="Z38" i="7" s="1"/>
  <c r="A39" i="7"/>
  <c r="Z39" i="7" s="1"/>
  <c r="A40" i="7"/>
  <c r="Z40" i="7" s="1"/>
  <c r="A41" i="7"/>
  <c r="Z41" i="7" s="1"/>
  <c r="A42" i="7"/>
  <c r="Z42" i="7" s="1"/>
  <c r="A43" i="7"/>
  <c r="Z43" i="7" s="1"/>
  <c r="A44" i="7"/>
  <c r="Z44" i="7" s="1"/>
  <c r="A45" i="7"/>
  <c r="Z45" i="7" s="1"/>
  <c r="A46" i="7"/>
  <c r="Z46" i="7" s="1"/>
  <c r="A47" i="7"/>
  <c r="Z47" i="7" s="1"/>
  <c r="A48" i="7"/>
  <c r="Z48" i="7" s="1"/>
  <c r="A49" i="7"/>
  <c r="Z49" i="7" s="1"/>
  <c r="A50" i="7"/>
  <c r="Z50" i="7" s="1"/>
  <c r="A36" i="7"/>
  <c r="Z36" i="7" s="1"/>
  <c r="M54" i="7" l="1"/>
  <c r="M50" i="7"/>
  <c r="M42" i="7"/>
  <c r="M53" i="7"/>
  <c r="M49" i="7"/>
  <c r="M41" i="7"/>
  <c r="M52" i="7"/>
  <c r="M43" i="7"/>
  <c r="M48" i="7"/>
  <c r="M40" i="7"/>
  <c r="M47" i="7"/>
  <c r="M45" i="7"/>
  <c r="M37" i="7"/>
  <c r="M36" i="7"/>
  <c r="M51" i="7"/>
  <c r="M39" i="7"/>
  <c r="M46" i="7"/>
  <c r="M38" i="7"/>
  <c r="M44" i="7"/>
  <c r="M55" i="7"/>
  <c r="O53" i="7" l="1"/>
  <c r="O55" i="7"/>
  <c r="O51" i="7"/>
  <c r="O36" i="7"/>
  <c r="O40" i="7"/>
  <c r="O52" i="7"/>
  <c r="O39" i="7"/>
  <c r="O42" i="7"/>
  <c r="O44" i="7"/>
  <c r="O41" i="7"/>
  <c r="O54" i="7"/>
  <c r="O37" i="7"/>
  <c r="O38" i="7"/>
  <c r="O46" i="7"/>
  <c r="O47" i="7"/>
  <c r="O48" i="7"/>
  <c r="O50" i="7"/>
  <c r="O45" i="7"/>
  <c r="O43" i="7"/>
  <c r="O49" i="7"/>
  <c r="B33" i="7" l="1"/>
  <c r="N54" i="7" l="1"/>
  <c r="N55" i="7"/>
  <c r="N38" i="7"/>
  <c r="N41" i="7"/>
  <c r="N45" i="7"/>
  <c r="N49" i="7"/>
  <c r="N43" i="7"/>
  <c r="N47" i="7"/>
  <c r="N37" i="7"/>
  <c r="N51" i="7"/>
  <c r="N50" i="7"/>
  <c r="N48" i="7"/>
  <c r="N39" i="7"/>
  <c r="N52" i="7"/>
  <c r="N40" i="7"/>
  <c r="N36" i="7"/>
  <c r="N44" i="7"/>
  <c r="N42" i="7"/>
  <c r="N53" i="7"/>
  <c r="N46" i="7"/>
  <c r="P54" i="7"/>
  <c r="P49" i="7"/>
  <c r="P44" i="7"/>
  <c r="P38" i="7"/>
  <c r="P43" i="7"/>
  <c r="P50" i="7"/>
  <c r="P36" i="7"/>
  <c r="P39" i="7"/>
  <c r="P41" i="7"/>
  <c r="P55" i="7"/>
  <c r="P52" i="7"/>
  <c r="P48" i="7"/>
  <c r="P51" i="7"/>
  <c r="P46" i="7"/>
  <c r="P42" i="7"/>
  <c r="P47" i="7"/>
  <c r="P53" i="7"/>
  <c r="P40" i="7"/>
  <c r="P45" i="7"/>
  <c r="P37" i="7"/>
  <c r="B5" i="7"/>
  <c r="B4" i="7"/>
  <c r="Q40" i="7" l="1"/>
  <c r="Q55" i="7"/>
  <c r="Q54" i="7"/>
  <c r="Q51" i="7"/>
  <c r="Q39" i="7"/>
  <c r="Q42" i="7"/>
  <c r="Q44" i="7"/>
  <c r="Q37" i="7"/>
  <c r="Q36" i="7"/>
  <c r="Q47" i="7"/>
  <c r="Q43" i="7"/>
  <c r="Q52" i="7"/>
  <c r="Q49" i="7"/>
  <c r="Q45" i="7"/>
  <c r="Q46" i="7"/>
  <c r="Q48" i="7"/>
  <c r="Q41" i="7"/>
  <c r="Q53" i="7"/>
  <c r="Q50" i="7"/>
  <c r="Q38" i="7"/>
  <c r="A27" i="7"/>
  <c r="A24" i="7"/>
  <c r="A25" i="7"/>
  <c r="A9" i="7"/>
  <c r="A10" i="7"/>
  <c r="A11" i="7"/>
  <c r="A12" i="7"/>
  <c r="A13" i="7"/>
  <c r="A14" i="7"/>
  <c r="A15" i="7"/>
  <c r="A16" i="7"/>
  <c r="A17" i="7"/>
  <c r="A18" i="7"/>
  <c r="A19" i="7"/>
  <c r="A20" i="7"/>
  <c r="A21" i="7"/>
  <c r="A22" i="7"/>
  <c r="A23" i="7"/>
  <c r="A8" i="7"/>
  <c r="Z16" i="7" l="1"/>
  <c r="C16" i="7"/>
  <c r="Z26" i="7"/>
  <c r="C26" i="7"/>
  <c r="Z15" i="7"/>
  <c r="C15" i="7"/>
  <c r="Z25" i="7"/>
  <c r="C25" i="7"/>
  <c r="Z22" i="7"/>
  <c r="C22" i="7"/>
  <c r="Z14" i="7"/>
  <c r="C14" i="7"/>
  <c r="Z24" i="7"/>
  <c r="C24" i="7"/>
  <c r="Z21" i="7"/>
  <c r="C21" i="7"/>
  <c r="Z13" i="7"/>
  <c r="C13" i="7"/>
  <c r="C27" i="7"/>
  <c r="Z27" i="7"/>
  <c r="Z20" i="7"/>
  <c r="C20" i="7"/>
  <c r="Z12" i="7"/>
  <c r="C12" i="7"/>
  <c r="Z8" i="7"/>
  <c r="C8" i="7"/>
  <c r="Z11" i="7"/>
  <c r="C11" i="7"/>
  <c r="Z23" i="7"/>
  <c r="C23" i="7"/>
  <c r="Z18" i="7"/>
  <c r="C18" i="7"/>
  <c r="Z10" i="7"/>
  <c r="C10" i="7"/>
  <c r="Z19" i="7"/>
  <c r="C19" i="7"/>
  <c r="Z17" i="7"/>
  <c r="C17" i="7"/>
  <c r="Z9" i="7"/>
  <c r="C9" i="7"/>
  <c r="Q23" i="7"/>
  <c r="Q24" i="7"/>
  <c r="Q26" i="7"/>
  <c r="Q25" i="7"/>
  <c r="Q14" i="7"/>
  <c r="Q13" i="7"/>
  <c r="Q27" i="7"/>
  <c r="Q8" i="7"/>
  <c r="Q20" i="7"/>
  <c r="Q12" i="7"/>
  <c r="Q11" i="7"/>
  <c r="Q16" i="7"/>
  <c r="Q21" i="7"/>
  <c r="Q10" i="7"/>
  <c r="Q15" i="7"/>
  <c r="Q22" i="7"/>
  <c r="Q19" i="7"/>
  <c r="Q18" i="7"/>
  <c r="Q17" i="7"/>
  <c r="Q9" i="7"/>
  <c r="N8" i="7"/>
  <c r="M8" i="7"/>
  <c r="N26" i="7"/>
  <c r="M26" i="7"/>
  <c r="N23" i="7"/>
  <c r="M23" i="7"/>
  <c r="N15" i="7"/>
  <c r="M15" i="7"/>
  <c r="N25" i="7"/>
  <c r="M25" i="7"/>
  <c r="N22" i="7"/>
  <c r="M22" i="7"/>
  <c r="N14" i="7"/>
  <c r="M14" i="7"/>
  <c r="N24" i="7"/>
  <c r="M24" i="7"/>
  <c r="N21" i="7"/>
  <c r="M21" i="7"/>
  <c r="N13" i="7"/>
  <c r="M13" i="7"/>
  <c r="N27" i="7"/>
  <c r="M27" i="7"/>
  <c r="N9" i="7"/>
  <c r="M9" i="7"/>
  <c r="N17" i="7"/>
  <c r="M17" i="7"/>
  <c r="N16" i="7"/>
  <c r="M16" i="7"/>
  <c r="N20" i="7"/>
  <c r="M20" i="7"/>
  <c r="N12" i="7"/>
  <c r="M12" i="7"/>
  <c r="N19" i="7"/>
  <c r="M19" i="7"/>
  <c r="N11" i="7"/>
  <c r="M11" i="7"/>
  <c r="N18" i="7"/>
  <c r="M18" i="7"/>
  <c r="N10" i="7"/>
  <c r="M10" i="7"/>
  <c r="B45" i="5"/>
  <c r="J45" i="5"/>
  <c r="J44" i="5"/>
  <c r="J43" i="5"/>
  <c r="J42" i="5"/>
  <c r="J41" i="5"/>
  <c r="J40" i="5"/>
  <c r="J39" i="5"/>
  <c r="J38" i="5"/>
  <c r="J37" i="5"/>
  <c r="J36" i="5"/>
  <c r="J35" i="5"/>
  <c r="J34" i="5"/>
  <c r="J33" i="5"/>
  <c r="J32" i="5"/>
  <c r="J31" i="5"/>
  <c r="J30" i="5"/>
  <c r="J29" i="5"/>
  <c r="J28" i="5"/>
  <c r="J27" i="5"/>
  <c r="J26" i="5"/>
  <c r="W45" i="5"/>
  <c r="Y44" i="11" s="1"/>
  <c r="Y45" i="11" s="1"/>
  <c r="W44" i="5"/>
  <c r="Y42" i="11" s="1"/>
  <c r="Y43" i="11" s="1"/>
  <c r="W43" i="5"/>
  <c r="Y40" i="11" s="1"/>
  <c r="Y41" i="11" s="1"/>
  <c r="W42" i="5"/>
  <c r="Y38" i="11" s="1"/>
  <c r="Y39" i="11" s="1"/>
  <c r="W41" i="5"/>
  <c r="Y36" i="11" s="1"/>
  <c r="Y37" i="11" s="1"/>
  <c r="W40" i="5"/>
  <c r="Y34" i="11" s="1"/>
  <c r="Y35" i="11" s="1"/>
  <c r="W39" i="5"/>
  <c r="Y32" i="11" s="1"/>
  <c r="Y33" i="11" s="1"/>
  <c r="W38" i="5"/>
  <c r="Y30" i="11" s="1"/>
  <c r="Y31" i="11" s="1"/>
  <c r="W37" i="5"/>
  <c r="Y28" i="11" s="1"/>
  <c r="Y29" i="11" s="1"/>
  <c r="W36" i="5"/>
  <c r="Y26" i="11" s="1"/>
  <c r="Y27" i="11" s="1"/>
  <c r="W35" i="5"/>
  <c r="Y24" i="11" s="1"/>
  <c r="Y25" i="11" s="1"/>
  <c r="W34" i="5"/>
  <c r="Y22" i="11" s="1"/>
  <c r="Y23" i="11" s="1"/>
  <c r="W33" i="5"/>
  <c r="Y20" i="11" s="1"/>
  <c r="Y21" i="11" s="1"/>
  <c r="W32" i="5"/>
  <c r="Y18" i="11" s="1"/>
  <c r="Y19" i="11" s="1"/>
  <c r="W31" i="5"/>
  <c r="Y16" i="11" s="1"/>
  <c r="Y17" i="11" s="1"/>
  <c r="W30" i="5"/>
  <c r="Y14" i="11" s="1"/>
  <c r="Y15" i="11" s="1"/>
  <c r="W29" i="5"/>
  <c r="Y12" i="11" s="1"/>
  <c r="Y13" i="11" s="1"/>
  <c r="W28" i="5"/>
  <c r="Y10" i="11" s="1"/>
  <c r="Y11" i="11" s="1"/>
  <c r="W27" i="5"/>
  <c r="Y8" i="11" s="1"/>
  <c r="Y9" i="11" s="1"/>
  <c r="W26" i="5"/>
  <c r="Y6" i="11" s="1"/>
  <c r="Y7" i="11" s="1"/>
  <c r="V8" i="11"/>
  <c r="V10" i="11"/>
  <c r="V12" i="11"/>
  <c r="V14" i="11"/>
  <c r="V16" i="11"/>
  <c r="V18" i="11"/>
  <c r="V20" i="11"/>
  <c r="V22" i="11"/>
  <c r="V24" i="11"/>
  <c r="V26" i="11"/>
  <c r="V28" i="11"/>
  <c r="V30" i="11"/>
  <c r="V32" i="11"/>
  <c r="V34" i="11"/>
  <c r="V36" i="11"/>
  <c r="V38" i="11"/>
  <c r="V40" i="11"/>
  <c r="V42" i="11"/>
  <c r="V44" i="11"/>
  <c r="V6" i="11"/>
  <c r="W7" i="11" s="1"/>
  <c r="W8" i="11" s="1"/>
  <c r="D6" i="11"/>
  <c r="W5" i="11"/>
  <c r="V4" i="11"/>
  <c r="D26" i="11"/>
  <c r="D24" i="11"/>
  <c r="D22" i="11"/>
  <c r="D20" i="11"/>
  <c r="D18" i="11"/>
  <c r="D16" i="11"/>
  <c r="D14" i="11"/>
  <c r="D12" i="11"/>
  <c r="D10" i="11"/>
  <c r="D8" i="11"/>
  <c r="D28" i="11"/>
  <c r="D44" i="11"/>
  <c r="D42" i="11"/>
  <c r="D40" i="11"/>
  <c r="D38" i="11"/>
  <c r="D36" i="11"/>
  <c r="D34" i="11"/>
  <c r="D32" i="11"/>
  <c r="D30" i="11"/>
  <c r="O44" i="5" l="1"/>
  <c r="T44" i="5"/>
  <c r="T45" i="5"/>
  <c r="O45" i="5"/>
  <c r="O43" i="5"/>
  <c r="T43" i="5"/>
  <c r="T39" i="5"/>
  <c r="O39" i="5"/>
  <c r="T40" i="5"/>
  <c r="O40" i="5"/>
  <c r="T41" i="5"/>
  <c r="O41" i="5"/>
  <c r="T42" i="5"/>
  <c r="O42" i="5"/>
  <c r="AB18" i="7"/>
  <c r="C46" i="7"/>
  <c r="AB46" i="7" s="1"/>
  <c r="AB12" i="7"/>
  <c r="C40" i="7"/>
  <c r="AB40" i="7" s="1"/>
  <c r="AB25" i="7"/>
  <c r="C53" i="7"/>
  <c r="AB53" i="7" s="1"/>
  <c r="AB9" i="7"/>
  <c r="C37" i="7"/>
  <c r="AB37" i="7" s="1"/>
  <c r="AB21" i="7"/>
  <c r="C49" i="7"/>
  <c r="AB49" i="7" s="1"/>
  <c r="AB23" i="7"/>
  <c r="C51" i="7"/>
  <c r="AB51" i="7" s="1"/>
  <c r="AB20" i="7"/>
  <c r="C48" i="7"/>
  <c r="AB48" i="7" s="1"/>
  <c r="AB15" i="7"/>
  <c r="C43" i="7"/>
  <c r="AB43" i="7" s="1"/>
  <c r="AB17" i="7"/>
  <c r="C45" i="7"/>
  <c r="AB45" i="7" s="1"/>
  <c r="AB24" i="7"/>
  <c r="C52" i="7"/>
  <c r="AB52" i="7" s="1"/>
  <c r="AB19" i="7"/>
  <c r="C47" i="7"/>
  <c r="AB14" i="7"/>
  <c r="C42" i="7"/>
  <c r="AB42" i="7" s="1"/>
  <c r="AB26" i="7"/>
  <c r="C54" i="7"/>
  <c r="AB11" i="7"/>
  <c r="C39" i="7"/>
  <c r="AB39" i="7" s="1"/>
  <c r="AB27" i="7"/>
  <c r="C55" i="7"/>
  <c r="AB10" i="7"/>
  <c r="C38" i="7"/>
  <c r="AB38" i="7" s="1"/>
  <c r="AB8" i="7"/>
  <c r="C36" i="7"/>
  <c r="AB13" i="7"/>
  <c r="C41" i="7"/>
  <c r="AB41" i="7" s="1"/>
  <c r="AB16" i="7"/>
  <c r="C44" i="7"/>
  <c r="AB44" i="7" s="1"/>
  <c r="AB22" i="7"/>
  <c r="C50" i="7"/>
  <c r="AB50" i="7" s="1"/>
  <c r="O18" i="7"/>
  <c r="P18" i="7" s="1"/>
  <c r="U18" i="7" s="1"/>
  <c r="R18" i="7"/>
  <c r="O27" i="7"/>
  <c r="P27" i="7" s="1"/>
  <c r="R27" i="7"/>
  <c r="R11" i="7"/>
  <c r="O11" i="7"/>
  <c r="P11" i="7" s="1"/>
  <c r="U11" i="7" s="1"/>
  <c r="O16" i="7"/>
  <c r="P16" i="7" s="1"/>
  <c r="U16" i="7" s="1"/>
  <c r="R16" i="7"/>
  <c r="R13" i="7"/>
  <c r="O13" i="7"/>
  <c r="P13" i="7" s="1"/>
  <c r="U13" i="7" s="1"/>
  <c r="R22" i="7"/>
  <c r="O22" i="7"/>
  <c r="P22" i="7" s="1"/>
  <c r="U22" i="7" s="1"/>
  <c r="O26" i="7"/>
  <c r="P26" i="7" s="1"/>
  <c r="R26" i="7"/>
  <c r="O10" i="7"/>
  <c r="P10" i="7" s="1"/>
  <c r="U10" i="7" s="1"/>
  <c r="R10" i="7"/>
  <c r="R12" i="7"/>
  <c r="O12" i="7"/>
  <c r="P12" i="7" s="1"/>
  <c r="U12" i="7" s="1"/>
  <c r="O9" i="7"/>
  <c r="P9" i="7" s="1"/>
  <c r="U9" i="7" s="1"/>
  <c r="R9" i="7"/>
  <c r="R15" i="7"/>
  <c r="O15" i="7"/>
  <c r="P15" i="7" s="1"/>
  <c r="U15" i="7" s="1"/>
  <c r="O23" i="7"/>
  <c r="P23" i="7" s="1"/>
  <c r="U23" i="7" s="1"/>
  <c r="R23" i="7"/>
  <c r="O20" i="7"/>
  <c r="P20" i="7" s="1"/>
  <c r="U20" i="7" s="1"/>
  <c r="R20" i="7"/>
  <c r="R14" i="7"/>
  <c r="O14" i="7"/>
  <c r="P14" i="7" s="1"/>
  <c r="U14" i="7" s="1"/>
  <c r="O19" i="7"/>
  <c r="P19" i="7" s="1"/>
  <c r="U19" i="7" s="1"/>
  <c r="R19" i="7"/>
  <c r="O17" i="7"/>
  <c r="P17" i="7" s="1"/>
  <c r="U17" i="7" s="1"/>
  <c r="R17" i="7"/>
  <c r="R21" i="7"/>
  <c r="O21" i="7"/>
  <c r="P21" i="7" s="1"/>
  <c r="U21" i="7" s="1"/>
  <c r="O25" i="7"/>
  <c r="P25" i="7" s="1"/>
  <c r="U25" i="7" s="1"/>
  <c r="R25" i="7"/>
  <c r="R8" i="7"/>
  <c r="O8" i="7"/>
  <c r="P8" i="7" s="1"/>
  <c r="U8" i="7" s="1"/>
  <c r="R24" i="7"/>
  <c r="O24" i="7"/>
  <c r="P24" i="7" s="1"/>
  <c r="U24" i="7" s="1"/>
  <c r="W9" i="11"/>
  <c r="W10" i="11" s="1"/>
  <c r="W11" i="11" s="1"/>
  <c r="W12" i="11" s="1"/>
  <c r="W13" i="11" s="1"/>
  <c r="W14" i="11" s="1"/>
  <c r="E7" i="11"/>
  <c r="D4" i="11"/>
  <c r="E5" i="11"/>
  <c r="L45" i="5"/>
  <c r="G44" i="11" s="1"/>
  <c r="G45" i="11" s="1"/>
  <c r="L44" i="5"/>
  <c r="G42" i="11" s="1"/>
  <c r="G43" i="11" s="1"/>
  <c r="L43" i="5"/>
  <c r="G40" i="11" s="1"/>
  <c r="G41" i="11" s="1"/>
  <c r="L42" i="5"/>
  <c r="G38" i="11" s="1"/>
  <c r="G39" i="11" s="1"/>
  <c r="L41" i="5"/>
  <c r="G36" i="11" s="1"/>
  <c r="G37" i="11" s="1"/>
  <c r="L40" i="5"/>
  <c r="G34" i="11" s="1"/>
  <c r="G35" i="11" s="1"/>
  <c r="L39" i="5"/>
  <c r="G32" i="11" s="1"/>
  <c r="G33" i="11" s="1"/>
  <c r="L38" i="5"/>
  <c r="G30" i="11" s="1"/>
  <c r="G31" i="11" s="1"/>
  <c r="L37" i="5"/>
  <c r="G28" i="11" s="1"/>
  <c r="G29" i="11" s="1"/>
  <c r="L36" i="5"/>
  <c r="G26" i="11" s="1"/>
  <c r="G27" i="11" s="1"/>
  <c r="L35" i="5"/>
  <c r="G24" i="11" s="1"/>
  <c r="G25" i="11" s="1"/>
  <c r="G22" i="11"/>
  <c r="G23" i="11" s="1"/>
  <c r="G20" i="11"/>
  <c r="G21" i="11" s="1"/>
  <c r="L32" i="5"/>
  <c r="G18" i="11" s="1"/>
  <c r="G19" i="11" s="1"/>
  <c r="L31" i="5"/>
  <c r="G16" i="11" s="1"/>
  <c r="G17" i="11" s="1"/>
  <c r="L30" i="5"/>
  <c r="L29" i="5"/>
  <c r="G12" i="11" s="1"/>
  <c r="G13" i="11" s="1"/>
  <c r="L28" i="5"/>
  <c r="G10" i="11" s="1"/>
  <c r="G11" i="11" s="1"/>
  <c r="L27" i="5"/>
  <c r="G8" i="11" s="1"/>
  <c r="G9" i="11" s="1"/>
  <c r="G6" i="11"/>
  <c r="G7" i="11" s="1"/>
  <c r="I30" i="5"/>
  <c r="H30" i="5"/>
  <c r="G30" i="5"/>
  <c r="I29" i="5"/>
  <c r="H29" i="5"/>
  <c r="G29" i="5"/>
  <c r="I28" i="5"/>
  <c r="H28" i="5"/>
  <c r="G28" i="5"/>
  <c r="I27" i="5"/>
  <c r="H27" i="5"/>
  <c r="G27" i="5"/>
  <c r="I26" i="5"/>
  <c r="H26" i="5"/>
  <c r="G26" i="5"/>
  <c r="I25" i="5"/>
  <c r="H25" i="5"/>
  <c r="G25" i="5"/>
  <c r="I24" i="5"/>
  <c r="H24" i="5"/>
  <c r="G24" i="5"/>
  <c r="I23" i="5"/>
  <c r="H23" i="5"/>
  <c r="G23" i="5"/>
  <c r="I22" i="5"/>
  <c r="H22" i="5"/>
  <c r="G22" i="5"/>
  <c r="I21" i="5"/>
  <c r="H21" i="5"/>
  <c r="G21" i="5"/>
  <c r="I20" i="5"/>
  <c r="H20" i="5"/>
  <c r="G20" i="5"/>
  <c r="I19" i="5"/>
  <c r="H19" i="5"/>
  <c r="G19" i="5"/>
  <c r="I18" i="5"/>
  <c r="H18" i="5"/>
  <c r="G18" i="5"/>
  <c r="I17" i="5"/>
  <c r="H17" i="5"/>
  <c r="G17" i="5"/>
  <c r="I16" i="5"/>
  <c r="H16" i="5"/>
  <c r="G16" i="5"/>
  <c r="I15" i="5"/>
  <c r="H15" i="5"/>
  <c r="G15" i="5"/>
  <c r="I14" i="5"/>
  <c r="H14" i="5"/>
  <c r="G14" i="5"/>
  <c r="I13" i="5"/>
  <c r="H13" i="5"/>
  <c r="G13" i="5"/>
  <c r="I12" i="5"/>
  <c r="H12" i="5"/>
  <c r="G12" i="5"/>
  <c r="I11" i="5"/>
  <c r="H11" i="5"/>
  <c r="G11" i="5"/>
  <c r="D10" i="5"/>
  <c r="H24" i="4"/>
  <c r="D17" i="4"/>
  <c r="D12" i="4"/>
  <c r="C8" i="4"/>
  <c r="C7" i="4"/>
  <c r="C6" i="4"/>
  <c r="C5" i="4"/>
  <c r="C24" i="4" l="1"/>
  <c r="G25" i="4"/>
  <c r="AB55" i="7"/>
  <c r="AB54" i="7"/>
  <c r="AF8" i="7"/>
  <c r="AB47" i="7"/>
  <c r="AB36" i="7"/>
  <c r="S27" i="7"/>
  <c r="U27" i="7"/>
  <c r="S26" i="7"/>
  <c r="U26" i="7"/>
  <c r="S18" i="7"/>
  <c r="T18" i="7" s="1"/>
  <c r="S21" i="7"/>
  <c r="T21" i="7" s="1"/>
  <c r="S13" i="7"/>
  <c r="T13" i="7" s="1"/>
  <c r="S8" i="7"/>
  <c r="T8" i="7" s="1"/>
  <c r="S15" i="7"/>
  <c r="T15" i="7" s="1"/>
  <c r="S14" i="7"/>
  <c r="T14" i="7" s="1"/>
  <c r="S9" i="7"/>
  <c r="T9" i="7" s="1"/>
  <c r="S20" i="7"/>
  <c r="T20" i="7" s="1"/>
  <c r="S17" i="7"/>
  <c r="T17" i="7" s="1"/>
  <c r="S10" i="7"/>
  <c r="T10" i="7" s="1"/>
  <c r="S24" i="7"/>
  <c r="T24" i="7" s="1"/>
  <c r="S25" i="7"/>
  <c r="T25" i="7" s="1"/>
  <c r="S19" i="7"/>
  <c r="T19" i="7" s="1"/>
  <c r="S23" i="7"/>
  <c r="T23" i="7" s="1"/>
  <c r="S12" i="7"/>
  <c r="T12" i="7" s="1"/>
  <c r="S22" i="7"/>
  <c r="T22" i="7" s="1"/>
  <c r="S16" i="7"/>
  <c r="T16" i="7" s="1"/>
  <c r="S11" i="7"/>
  <c r="T11" i="7" s="1"/>
  <c r="E8" i="11"/>
  <c r="E9" i="11" s="1"/>
  <c r="E10" i="11" s="1"/>
  <c r="E11" i="11" s="1"/>
  <c r="E12" i="11" s="1"/>
  <c r="E13" i="11" s="1"/>
  <c r="E14" i="11" s="1"/>
  <c r="E15" i="11" s="1"/>
  <c r="E16" i="11" s="1"/>
  <c r="E17" i="11" s="1"/>
  <c r="E18" i="11" s="1"/>
  <c r="E19" i="11" s="1"/>
  <c r="E20" i="11" s="1"/>
  <c r="E21" i="11" s="1"/>
  <c r="E22" i="11" s="1"/>
  <c r="E23" i="11" s="1"/>
  <c r="E24" i="11" s="1"/>
  <c r="E25" i="11" s="1"/>
  <c r="E26" i="11" s="1"/>
  <c r="E27" i="11" s="1"/>
  <c r="E28" i="11" s="1"/>
  <c r="E29" i="11" s="1"/>
  <c r="W15" i="11"/>
  <c r="W16" i="11" s="1"/>
  <c r="G14" i="11"/>
  <c r="G15" i="11" s="1"/>
  <c r="J62" i="9"/>
  <c r="J61" i="9"/>
  <c r="J60" i="9"/>
  <c r="J59" i="9"/>
  <c r="J58" i="9"/>
  <c r="J57" i="9"/>
  <c r="J56" i="9"/>
  <c r="J55" i="9"/>
  <c r="J54" i="9"/>
  <c r="J53" i="9"/>
  <c r="J52" i="9"/>
  <c r="J51" i="9"/>
  <c r="J50" i="9"/>
  <c r="J49" i="9"/>
  <c r="J48" i="9"/>
  <c r="J47" i="9"/>
  <c r="J46" i="9"/>
  <c r="J45" i="9"/>
  <c r="J44" i="9"/>
  <c r="J43" i="9"/>
  <c r="O29" i="9"/>
  <c r="O28" i="9"/>
  <c r="O27" i="9"/>
  <c r="O26" i="9"/>
  <c r="O25" i="9"/>
  <c r="O24" i="9"/>
  <c r="O23" i="9"/>
  <c r="O22" i="9"/>
  <c r="O21" i="9"/>
  <c r="O20" i="9"/>
  <c r="O19" i="9"/>
  <c r="O18" i="9"/>
  <c r="O17" i="9"/>
  <c r="O16" i="9"/>
  <c r="O15" i="9"/>
  <c r="O14" i="9"/>
  <c r="O13" i="9"/>
  <c r="O12" i="9"/>
  <c r="O11" i="9"/>
  <c r="O10" i="9"/>
  <c r="K4" i="3"/>
  <c r="T26" i="7" l="1"/>
  <c r="T27" i="7"/>
  <c r="E30" i="11"/>
  <c r="E31" i="11" s="1"/>
  <c r="E32" i="11" s="1"/>
  <c r="E33" i="11" s="1"/>
  <c r="E34" i="11" s="1"/>
  <c r="E35" i="11" s="1"/>
  <c r="E36" i="11" s="1"/>
  <c r="E37" i="11" s="1"/>
  <c r="E38" i="11" s="1"/>
  <c r="E39" i="11" s="1"/>
  <c r="E40" i="11" s="1"/>
  <c r="E41" i="11" s="1"/>
  <c r="E42" i="11" s="1"/>
  <c r="E43" i="11" s="1"/>
  <c r="E44" i="11" s="1"/>
  <c r="E45" i="11" s="1"/>
  <c r="AF36" i="7"/>
  <c r="W17" i="11"/>
  <c r="W18" i="11" s="1"/>
  <c r="AM10" i="5"/>
  <c r="AM9" i="5"/>
  <c r="AM8" i="5"/>
  <c r="AJ8" i="5"/>
  <c r="B46" i="5"/>
  <c r="B43" i="5"/>
  <c r="G35" i="5"/>
  <c r="G34" i="5"/>
  <c r="AG12" i="5"/>
  <c r="AG11" i="5"/>
  <c r="AG10" i="5"/>
  <c r="AG9" i="5"/>
  <c r="AG8" i="5"/>
  <c r="D7" i="5"/>
  <c r="B38" i="5"/>
  <c r="B37" i="5"/>
  <c r="B36" i="5"/>
  <c r="B34" i="5"/>
  <c r="H8" i="5"/>
  <c r="H7" i="5"/>
  <c r="H6" i="5"/>
  <c r="K5" i="3"/>
  <c r="K3" i="3"/>
  <c r="B37" i="9"/>
  <c r="B36" i="9"/>
  <c r="B5" i="9"/>
  <c r="B3" i="9"/>
  <c r="S13" i="11" l="1"/>
  <c r="S7" i="11"/>
  <c r="W19" i="11"/>
  <c r="W20" i="11" s="1"/>
  <c r="B44" i="5"/>
  <c r="W21" i="11" l="1"/>
  <c r="W22" i="11" s="1"/>
  <c r="B35" i="5"/>
  <c r="W23" i="11" l="1"/>
  <c r="W24" i="11" s="1"/>
  <c r="B41" i="9"/>
  <c r="W25" i="11" l="1"/>
  <c r="W26" i="11" s="1"/>
  <c r="O29" i="3"/>
  <c r="O28" i="3"/>
  <c r="O27" i="3"/>
  <c r="O26" i="3"/>
  <c r="O25" i="3"/>
  <c r="O24" i="3"/>
  <c r="O23" i="3"/>
  <c r="O22" i="3"/>
  <c r="O21" i="3"/>
  <c r="O20" i="3"/>
  <c r="O19" i="3"/>
  <c r="O18" i="3"/>
  <c r="O17" i="3"/>
  <c r="O16" i="3"/>
  <c r="O15" i="3"/>
  <c r="O14" i="3"/>
  <c r="O13" i="3"/>
  <c r="O12" i="3"/>
  <c r="O11" i="3"/>
  <c r="O10" i="3"/>
  <c r="I62" i="3"/>
  <c r="I61" i="3"/>
  <c r="I60" i="3"/>
  <c r="I59" i="3"/>
  <c r="I58" i="3"/>
  <c r="I57" i="3"/>
  <c r="I56" i="3"/>
  <c r="I55" i="3"/>
  <c r="I54" i="3"/>
  <c r="I53" i="3"/>
  <c r="I52" i="3"/>
  <c r="I51" i="3"/>
  <c r="I50" i="3"/>
  <c r="I49" i="3"/>
  <c r="I48" i="3"/>
  <c r="I47" i="3"/>
  <c r="I46" i="3"/>
  <c r="I45" i="3"/>
  <c r="I44" i="3"/>
  <c r="I43" i="3"/>
  <c r="W27" i="11" l="1"/>
  <c r="W28" i="11" s="1"/>
  <c r="AD25" i="5"/>
  <c r="Y25" i="5"/>
  <c r="S25" i="5"/>
  <c r="N25" i="5"/>
  <c r="W29" i="11" l="1"/>
  <c r="W30" i="11" s="1"/>
  <c r="B39" i="3"/>
  <c r="B39" i="9" s="1"/>
  <c r="B2" i="3"/>
  <c r="B3" i="3"/>
  <c r="B6" i="3"/>
  <c r="B5" i="3"/>
  <c r="B40" i="3"/>
  <c r="AI11" i="3" l="1"/>
  <c r="AI12" i="3"/>
  <c r="AI20" i="3"/>
  <c r="AI10" i="3"/>
  <c r="AI16" i="3"/>
  <c r="AI25" i="3"/>
  <c r="AI19" i="3"/>
  <c r="AI13" i="3"/>
  <c r="AI21" i="3"/>
  <c r="AI14" i="3"/>
  <c r="AI22" i="3"/>
  <c r="AI23" i="3"/>
  <c r="AI24" i="3"/>
  <c r="AI18" i="3"/>
  <c r="AI27" i="3"/>
  <c r="AI15" i="3"/>
  <c r="AI17" i="3"/>
  <c r="AI26" i="3"/>
  <c r="W31" i="11"/>
  <c r="W32" i="11" s="1"/>
  <c r="B4" i="9"/>
  <c r="B38" i="3"/>
  <c r="E2" i="9"/>
  <c r="B37" i="3"/>
  <c r="B41" i="3"/>
  <c r="B36" i="3"/>
  <c r="W33" i="11" l="1"/>
  <c r="W34" i="11" s="1"/>
  <c r="AI3" i="5"/>
  <c r="AG3" i="5"/>
  <c r="AI2" i="5"/>
  <c r="AG2" i="5"/>
  <c r="AG1" i="5"/>
  <c r="AN3" i="5"/>
  <c r="AM3" i="5"/>
  <c r="AL3" i="5"/>
  <c r="AK3" i="5"/>
  <c r="AN2" i="5"/>
  <c r="AM2" i="5"/>
  <c r="AL2" i="5"/>
  <c r="AK2" i="5"/>
  <c r="AK1" i="5"/>
  <c r="AA3" i="5"/>
  <c r="AA2" i="5"/>
  <c r="AA1" i="5"/>
  <c r="X3" i="5"/>
  <c r="V3" i="5"/>
  <c r="X2" i="5"/>
  <c r="V2" i="5"/>
  <c r="V1" i="5"/>
  <c r="P1" i="5"/>
  <c r="P3" i="5"/>
  <c r="P2" i="5"/>
  <c r="M3" i="5"/>
  <c r="K3" i="5"/>
  <c r="M2" i="5"/>
  <c r="K2" i="5"/>
  <c r="K1" i="5"/>
  <c r="F3" i="5"/>
  <c r="F2" i="5"/>
  <c r="E43" i="5" s="1"/>
  <c r="F1" i="5"/>
  <c r="D3" i="5"/>
  <c r="D2" i="5"/>
  <c r="B3" i="5"/>
  <c r="B2" i="5"/>
  <c r="B1" i="5"/>
  <c r="I3" i="5"/>
  <c r="H3" i="5"/>
  <c r="G3" i="5"/>
  <c r="I2" i="5"/>
  <c r="H2" i="5"/>
  <c r="G2" i="5"/>
  <c r="W35" i="11" l="1"/>
  <c r="W36" i="11" s="1"/>
  <c r="AB57" i="2"/>
  <c r="AB56" i="2"/>
  <c r="AB55" i="2"/>
  <c r="AB54" i="2"/>
  <c r="AB53" i="2"/>
  <c r="AB52" i="2"/>
  <c r="AB51" i="2"/>
  <c r="AB50" i="2"/>
  <c r="AB49" i="2"/>
  <c r="AB48" i="2"/>
  <c r="AB47" i="2"/>
  <c r="AB46" i="2"/>
  <c r="AB45" i="2"/>
  <c r="AB44" i="2"/>
  <c r="AB43" i="2"/>
  <c r="AB42" i="2"/>
  <c r="AB41" i="2"/>
  <c r="AB40" i="2"/>
  <c r="AB39" i="2"/>
  <c r="AB38" i="2"/>
  <c r="Z24" i="2"/>
  <c r="Z23" i="2"/>
  <c r="Z22" i="2"/>
  <c r="Z21" i="2"/>
  <c r="Z20" i="2"/>
  <c r="Z19" i="2"/>
  <c r="Z18" i="2"/>
  <c r="Z17" i="2"/>
  <c r="Z16" i="2"/>
  <c r="Z15" i="2"/>
  <c r="Z14" i="2"/>
  <c r="Z13" i="2"/>
  <c r="Z12" i="2"/>
  <c r="Z11" i="2"/>
  <c r="Z10" i="2"/>
  <c r="Z9" i="2"/>
  <c r="Z8" i="2"/>
  <c r="Z7" i="2"/>
  <c r="Z6" i="2"/>
  <c r="Z5" i="2"/>
  <c r="W37" i="11" l="1"/>
  <c r="W38" i="11" s="1"/>
  <c r="W39" i="11" l="1"/>
  <c r="W40" i="11" s="1"/>
  <c r="E11" i="3"/>
  <c r="E44" i="9" s="1"/>
  <c r="E12" i="3"/>
  <c r="E45" i="9" s="1"/>
  <c r="E13" i="3"/>
  <c r="E13" i="9" s="1"/>
  <c r="E14" i="3"/>
  <c r="E14" i="9" s="1"/>
  <c r="E15" i="3"/>
  <c r="E15" i="9" s="1"/>
  <c r="E16" i="3"/>
  <c r="E16" i="9" s="1"/>
  <c r="E17" i="3"/>
  <c r="E50" i="9" s="1"/>
  <c r="E18" i="3"/>
  <c r="E51" i="9" s="1"/>
  <c r="E19" i="3"/>
  <c r="E52" i="9" s="1"/>
  <c r="E20" i="3"/>
  <c r="E53" i="9" s="1"/>
  <c r="E21" i="3"/>
  <c r="E21" i="9" s="1"/>
  <c r="E22" i="3"/>
  <c r="E22" i="9" s="1"/>
  <c r="E23" i="3"/>
  <c r="E23" i="9" s="1"/>
  <c r="E24" i="3"/>
  <c r="E24" i="9" s="1"/>
  <c r="E25" i="3"/>
  <c r="E58" i="9" s="1"/>
  <c r="E26" i="3"/>
  <c r="E59" i="9" s="1"/>
  <c r="E27" i="3"/>
  <c r="E60" i="9" s="1"/>
  <c r="E28" i="3"/>
  <c r="E61" i="9" s="1"/>
  <c r="E29" i="3"/>
  <c r="E29" i="9" s="1"/>
  <c r="E10" i="3"/>
  <c r="C11" i="3"/>
  <c r="C11" i="9" s="1"/>
  <c r="C12" i="3"/>
  <c r="C12" i="9" s="1"/>
  <c r="C13" i="3"/>
  <c r="C14" i="3"/>
  <c r="C47" i="9" s="1"/>
  <c r="C15" i="3"/>
  <c r="C48" i="9" s="1"/>
  <c r="C16" i="3"/>
  <c r="C49" i="9" s="1"/>
  <c r="C17" i="3"/>
  <c r="C17" i="9" s="1"/>
  <c r="C18" i="3"/>
  <c r="C18" i="9" s="1"/>
  <c r="C19" i="3"/>
  <c r="C19" i="9" s="1"/>
  <c r="C20" i="3"/>
  <c r="C20" i="9" s="1"/>
  <c r="C21" i="3"/>
  <c r="C21" i="9" s="1"/>
  <c r="C22" i="3"/>
  <c r="C55" i="9" s="1"/>
  <c r="C23" i="3"/>
  <c r="C56" i="9" s="1"/>
  <c r="C24" i="3"/>
  <c r="C24" i="9" s="1"/>
  <c r="C25" i="3"/>
  <c r="C25" i="9" s="1"/>
  <c r="C26" i="3"/>
  <c r="C26" i="9" s="1"/>
  <c r="C27" i="3"/>
  <c r="C27" i="9" s="1"/>
  <c r="C28" i="3"/>
  <c r="C28" i="9" s="1"/>
  <c r="C29" i="3"/>
  <c r="C29" i="9" s="1"/>
  <c r="C10" i="3"/>
  <c r="C43" i="9" s="1"/>
  <c r="A11" i="3"/>
  <c r="A12" i="3"/>
  <c r="A13" i="3"/>
  <c r="A14" i="3"/>
  <c r="A15" i="3"/>
  <c r="A16" i="3"/>
  <c r="A17" i="3"/>
  <c r="A18" i="3"/>
  <c r="A19" i="3"/>
  <c r="A20" i="3"/>
  <c r="A21" i="3"/>
  <c r="A22" i="3"/>
  <c r="AC22" i="3" s="1"/>
  <c r="A23" i="3"/>
  <c r="AC23" i="3" s="1"/>
  <c r="A24" i="3"/>
  <c r="AC24" i="3" s="1"/>
  <c r="A25" i="3"/>
  <c r="AC25" i="3" s="1"/>
  <c r="A26" i="3"/>
  <c r="AC26" i="3" s="1"/>
  <c r="A27" i="3"/>
  <c r="AC27" i="3" s="1"/>
  <c r="A28" i="3"/>
  <c r="AC28" i="3" s="1"/>
  <c r="A29" i="3"/>
  <c r="AC29" i="3" s="1"/>
  <c r="A10" i="3"/>
  <c r="B12" i="5"/>
  <c r="D12" i="5"/>
  <c r="E12" i="5"/>
  <c r="F12" i="5"/>
  <c r="B13" i="5"/>
  <c r="D13" i="5"/>
  <c r="E13" i="5"/>
  <c r="F13" i="5"/>
  <c r="B14" i="5"/>
  <c r="D14" i="5"/>
  <c r="E14" i="5"/>
  <c r="F14" i="5"/>
  <c r="B15" i="5"/>
  <c r="D15" i="5"/>
  <c r="E15" i="5"/>
  <c r="F15" i="5"/>
  <c r="B16" i="5"/>
  <c r="D16" i="5"/>
  <c r="E16" i="5"/>
  <c r="F16" i="5"/>
  <c r="B17" i="5"/>
  <c r="D17" i="5"/>
  <c r="E17" i="5"/>
  <c r="F17" i="5"/>
  <c r="B18" i="5"/>
  <c r="D18" i="5"/>
  <c r="E18" i="5"/>
  <c r="F18" i="5"/>
  <c r="B19" i="5"/>
  <c r="D19" i="5"/>
  <c r="E19" i="5"/>
  <c r="F19" i="5"/>
  <c r="B20" i="5"/>
  <c r="D20" i="5"/>
  <c r="E20" i="5"/>
  <c r="F20" i="5"/>
  <c r="B21" i="5"/>
  <c r="D21" i="5"/>
  <c r="E21" i="5"/>
  <c r="F21" i="5"/>
  <c r="B22" i="5"/>
  <c r="D22" i="5"/>
  <c r="E22" i="5"/>
  <c r="F22" i="5"/>
  <c r="B23" i="5"/>
  <c r="D23" i="5"/>
  <c r="E23" i="5"/>
  <c r="F23" i="5"/>
  <c r="B24" i="5"/>
  <c r="D24" i="5"/>
  <c r="E24" i="5"/>
  <c r="F24" i="5"/>
  <c r="B25" i="5"/>
  <c r="D25" i="5"/>
  <c r="E25" i="5"/>
  <c r="F25" i="5"/>
  <c r="B26" i="5"/>
  <c r="D26" i="5"/>
  <c r="E26" i="5"/>
  <c r="F26" i="5"/>
  <c r="B27" i="5"/>
  <c r="D27" i="5"/>
  <c r="E27" i="5"/>
  <c r="F27" i="5"/>
  <c r="B28" i="5"/>
  <c r="D28" i="5"/>
  <c r="E28" i="5"/>
  <c r="F28" i="5"/>
  <c r="B29" i="5"/>
  <c r="D29" i="5"/>
  <c r="E29" i="5"/>
  <c r="F29" i="5"/>
  <c r="B30" i="5"/>
  <c r="D30" i="5"/>
  <c r="E30" i="5"/>
  <c r="F30" i="5"/>
  <c r="B11" i="5"/>
  <c r="D11" i="5"/>
  <c r="E11" i="5"/>
  <c r="F11" i="5"/>
  <c r="A12" i="5"/>
  <c r="A13" i="5"/>
  <c r="A14" i="5"/>
  <c r="A15" i="5"/>
  <c r="A16" i="5"/>
  <c r="A17" i="5"/>
  <c r="A18" i="5"/>
  <c r="A19" i="5"/>
  <c r="A20" i="5"/>
  <c r="A21" i="5"/>
  <c r="A22" i="5"/>
  <c r="A23" i="5"/>
  <c r="A24" i="5"/>
  <c r="A25" i="5"/>
  <c r="A26" i="5"/>
  <c r="A27" i="5"/>
  <c r="A28" i="5"/>
  <c r="A29" i="5"/>
  <c r="A30" i="5"/>
  <c r="A11" i="5"/>
  <c r="AM19" i="5"/>
  <c r="AI19" i="5"/>
  <c r="U25" i="5"/>
  <c r="J25" i="5"/>
  <c r="F10" i="5"/>
  <c r="A10" i="5"/>
  <c r="AH10" i="5"/>
  <c r="I8" i="5"/>
  <c r="I7" i="5"/>
  <c r="E7" i="5"/>
  <c r="M20" i="1"/>
  <c r="M17" i="1"/>
  <c r="H38" i="1"/>
  <c r="G12" i="1"/>
  <c r="E12" i="1"/>
  <c r="B12" i="1"/>
  <c r="F10" i="1"/>
  <c r="X25" i="3" l="1"/>
  <c r="X23" i="3"/>
  <c r="X29" i="3"/>
  <c r="X22" i="3"/>
  <c r="X28" i="3"/>
  <c r="X27" i="3"/>
  <c r="X24" i="3"/>
  <c r="X26" i="3"/>
  <c r="U24" i="3"/>
  <c r="V24" i="3"/>
  <c r="X57" i="3" s="1"/>
  <c r="U29" i="3"/>
  <c r="V29" i="3"/>
  <c r="X62" i="3" s="1"/>
  <c r="U21" i="3"/>
  <c r="V21" i="3" s="1"/>
  <c r="X54" i="3" s="1"/>
  <c r="U13" i="3"/>
  <c r="V13" i="3" s="1"/>
  <c r="X46" i="3" s="1"/>
  <c r="U25" i="3"/>
  <c r="V25" i="3"/>
  <c r="X58" i="3" s="1"/>
  <c r="V23" i="3"/>
  <c r="X56" i="3" s="1"/>
  <c r="U23" i="3"/>
  <c r="U10" i="3"/>
  <c r="V10" i="3" s="1"/>
  <c r="X43" i="3" s="1"/>
  <c r="U28" i="3"/>
  <c r="V28" i="3"/>
  <c r="X61" i="3" s="1"/>
  <c r="U20" i="3"/>
  <c r="V20" i="3" s="1"/>
  <c r="X53" i="3" s="1"/>
  <c r="U12" i="3"/>
  <c r="V12" i="3" s="1"/>
  <c r="X45" i="3" s="1"/>
  <c r="U17" i="3"/>
  <c r="V17" i="3" s="1"/>
  <c r="X50" i="3" s="1"/>
  <c r="U15" i="3"/>
  <c r="V15" i="3" s="1"/>
  <c r="X48" i="3" s="1"/>
  <c r="U14" i="3"/>
  <c r="V14" i="3" s="1"/>
  <c r="X47" i="3" s="1"/>
  <c r="V27" i="3"/>
  <c r="X60" i="3" s="1"/>
  <c r="U27" i="3"/>
  <c r="U19" i="3"/>
  <c r="V19" i="3" s="1"/>
  <c r="X52" i="3" s="1"/>
  <c r="U11" i="3"/>
  <c r="V11" i="3" s="1"/>
  <c r="X44" i="3" s="1"/>
  <c r="U16" i="3"/>
  <c r="V16" i="3" s="1"/>
  <c r="X49" i="3" s="1"/>
  <c r="U22" i="3"/>
  <c r="V22" i="3"/>
  <c r="X55" i="3" s="1"/>
  <c r="U26" i="3"/>
  <c r="V26" i="3"/>
  <c r="X59" i="3" s="1"/>
  <c r="U18" i="3"/>
  <c r="V18" i="3" s="1"/>
  <c r="X51" i="3" s="1"/>
  <c r="M29" i="3"/>
  <c r="M28" i="3"/>
  <c r="J38" i="1"/>
  <c r="I38" i="1"/>
  <c r="W41" i="11"/>
  <c r="W42" i="11" s="1"/>
  <c r="Z14" i="3"/>
  <c r="Z17" i="3"/>
  <c r="Z16" i="3"/>
  <c r="Z15" i="3"/>
  <c r="Z13" i="3"/>
  <c r="Z11" i="3"/>
  <c r="Z12" i="3"/>
  <c r="Z21" i="3"/>
  <c r="Z19" i="3"/>
  <c r="Z20" i="3"/>
  <c r="Z18" i="3"/>
  <c r="AL19" i="5"/>
  <c r="Z10" i="3"/>
  <c r="E10" i="9"/>
  <c r="Z29" i="3"/>
  <c r="Z22" i="3"/>
  <c r="Z28" i="3"/>
  <c r="Z27" i="3"/>
  <c r="Z23" i="3"/>
  <c r="Z26" i="3"/>
  <c r="Z25" i="3"/>
  <c r="Z24" i="3"/>
  <c r="C13" i="9"/>
  <c r="C25" i="4"/>
  <c r="AH19" i="5" s="1"/>
  <c r="A45" i="9"/>
  <c r="Y12" i="3"/>
  <c r="A50" i="3"/>
  <c r="Y17" i="3"/>
  <c r="A10" i="9"/>
  <c r="Y10" i="3"/>
  <c r="A22" i="9"/>
  <c r="Y22" i="3"/>
  <c r="A14" i="9"/>
  <c r="Y14" i="3"/>
  <c r="A21" i="9"/>
  <c r="Y21" i="3"/>
  <c r="A28" i="9"/>
  <c r="L28" i="9" s="1"/>
  <c r="Y28" i="3"/>
  <c r="A60" i="9"/>
  <c r="Y27" i="3"/>
  <c r="A52" i="9"/>
  <c r="Y19" i="3"/>
  <c r="A44" i="9"/>
  <c r="Y11" i="3"/>
  <c r="A59" i="3"/>
  <c r="AE59" i="3" s="1"/>
  <c r="Y26" i="3"/>
  <c r="A51" i="3"/>
  <c r="Y18" i="3"/>
  <c r="A13" i="9"/>
  <c r="Y13" i="3"/>
  <c r="A53" i="9"/>
  <c r="Y20" i="3"/>
  <c r="A58" i="3"/>
  <c r="AE58" i="3" s="1"/>
  <c r="Y25" i="3"/>
  <c r="A24" i="9"/>
  <c r="L24" i="9" s="1"/>
  <c r="Y24" i="3"/>
  <c r="A16" i="9"/>
  <c r="Y16" i="3"/>
  <c r="A29" i="9"/>
  <c r="L29" i="9" s="1"/>
  <c r="Y29" i="3"/>
  <c r="A23" i="9"/>
  <c r="L23" i="9" s="1"/>
  <c r="Y23" i="3"/>
  <c r="A15" i="9"/>
  <c r="Y15" i="3"/>
  <c r="E48" i="9"/>
  <c r="E47" i="9"/>
  <c r="C51" i="9"/>
  <c r="A51" i="9"/>
  <c r="E19" i="9"/>
  <c r="A54" i="3"/>
  <c r="A43" i="9"/>
  <c r="E26" i="9"/>
  <c r="A50" i="9"/>
  <c r="E20" i="9"/>
  <c r="A48" i="9"/>
  <c r="A59" i="9"/>
  <c r="C46" i="9"/>
  <c r="C62" i="9"/>
  <c r="E18" i="9"/>
  <c r="C54" i="9"/>
  <c r="A55" i="3"/>
  <c r="AE55" i="3" s="1"/>
  <c r="A58" i="9"/>
  <c r="E25" i="9"/>
  <c r="A49" i="3"/>
  <c r="C61" i="9"/>
  <c r="C45" i="9"/>
  <c r="A48" i="3"/>
  <c r="A57" i="9"/>
  <c r="C60" i="9"/>
  <c r="C44" i="9"/>
  <c r="A43" i="3"/>
  <c r="A47" i="3"/>
  <c r="A56" i="9"/>
  <c r="C59" i="9"/>
  <c r="E57" i="9"/>
  <c r="A62" i="3"/>
  <c r="AE62" i="3" s="1"/>
  <c r="A46" i="3"/>
  <c r="E17" i="9"/>
  <c r="E56" i="9"/>
  <c r="A57" i="3"/>
  <c r="AE57" i="3" s="1"/>
  <c r="E28" i="9"/>
  <c r="E12" i="9"/>
  <c r="C53" i="9"/>
  <c r="E55" i="9"/>
  <c r="B38" i="9"/>
  <c r="A56" i="3"/>
  <c r="AE56" i="3" s="1"/>
  <c r="E27" i="9"/>
  <c r="E11" i="9"/>
  <c r="A49" i="9"/>
  <c r="C52" i="9"/>
  <c r="E49" i="9"/>
  <c r="A12" i="9"/>
  <c r="A27" i="9"/>
  <c r="L27" i="9" s="1"/>
  <c r="C23" i="9"/>
  <c r="C15" i="9"/>
  <c r="A18" i="9"/>
  <c r="C14" i="9"/>
  <c r="A25" i="9"/>
  <c r="L25" i="9" s="1"/>
  <c r="E62" i="9"/>
  <c r="E46" i="9"/>
  <c r="A61" i="3"/>
  <c r="AE61" i="3" s="1"/>
  <c r="A53" i="3"/>
  <c r="A45" i="3"/>
  <c r="E43" i="9"/>
  <c r="A55" i="9"/>
  <c r="A47" i="9"/>
  <c r="C58" i="9"/>
  <c r="C50" i="9"/>
  <c r="A20" i="9"/>
  <c r="C16" i="9"/>
  <c r="A11" i="9"/>
  <c r="C10" i="9"/>
  <c r="A17" i="9"/>
  <c r="E54" i="9"/>
  <c r="A60" i="3"/>
  <c r="AE60" i="3" s="1"/>
  <c r="A52" i="3"/>
  <c r="A44" i="3"/>
  <c r="A62" i="9"/>
  <c r="A54" i="9"/>
  <c r="A46" i="9"/>
  <c r="C57" i="9"/>
  <c r="A19" i="9"/>
  <c r="A26" i="9"/>
  <c r="L26" i="9" s="1"/>
  <c r="C22" i="9"/>
  <c r="A61" i="9"/>
  <c r="U45" i="5"/>
  <c r="U44" i="5"/>
  <c r="U43" i="5"/>
  <c r="U42" i="5"/>
  <c r="U41" i="5"/>
  <c r="U40" i="5"/>
  <c r="U39" i="5"/>
  <c r="U38" i="5"/>
  <c r="U37" i="5"/>
  <c r="U36" i="5"/>
  <c r="U35" i="5"/>
  <c r="U34" i="5"/>
  <c r="U33" i="5"/>
  <c r="U32" i="5"/>
  <c r="U31" i="5"/>
  <c r="U30" i="5"/>
  <c r="U29" i="5"/>
  <c r="U28" i="5"/>
  <c r="U27" i="5"/>
  <c r="U26" i="5"/>
  <c r="E36" i="9"/>
  <c r="AO56" i="3"/>
  <c r="AO55" i="3"/>
  <c r="AO54" i="3"/>
  <c r="AO53" i="3"/>
  <c r="AO52" i="3"/>
  <c r="AO51" i="3"/>
  <c r="AO50" i="3"/>
  <c r="AO49" i="3"/>
  <c r="AO48" i="3"/>
  <c r="AO47" i="3"/>
  <c r="AO46" i="3"/>
  <c r="AO45" i="3"/>
  <c r="AO44" i="3"/>
  <c r="AO43" i="3"/>
  <c r="D29" i="3"/>
  <c r="D28" i="3"/>
  <c r="D27" i="3"/>
  <c r="D26" i="3"/>
  <c r="J25" i="3"/>
  <c r="D25" i="3"/>
  <c r="D24" i="3"/>
  <c r="D23" i="3"/>
  <c r="D22" i="3"/>
  <c r="D21" i="3"/>
  <c r="D20" i="3"/>
  <c r="D19" i="3"/>
  <c r="D18" i="3"/>
  <c r="D17" i="3"/>
  <c r="D16" i="3"/>
  <c r="D15" i="3"/>
  <c r="D14" i="3"/>
  <c r="J14" i="3"/>
  <c r="D13" i="3"/>
  <c r="J13" i="3"/>
  <c r="D12" i="3"/>
  <c r="D11" i="3"/>
  <c r="J10" i="3"/>
  <c r="D10" i="3"/>
  <c r="J26" i="3"/>
  <c r="K21" i="3"/>
  <c r="AA25" i="3" l="1"/>
  <c r="AC58" i="3"/>
  <c r="AA26" i="3"/>
  <c r="AC59" i="3"/>
  <c r="AC57" i="3"/>
  <c r="AA24" i="3"/>
  <c r="AA14" i="3"/>
  <c r="AC47" i="3"/>
  <c r="AC49" i="3"/>
  <c r="AA16" i="3"/>
  <c r="AA23" i="3"/>
  <c r="AC56" i="3"/>
  <c r="AA11" i="3"/>
  <c r="AC44" i="3"/>
  <c r="AA28" i="3"/>
  <c r="AC61" i="3"/>
  <c r="AA13" i="3"/>
  <c r="AC46" i="3"/>
  <c r="AA22" i="3"/>
  <c r="AC55" i="3"/>
  <c r="AA10" i="3"/>
  <c r="AC43" i="3"/>
  <c r="AA19" i="3"/>
  <c r="AC52" i="3"/>
  <c r="AA29" i="3"/>
  <c r="AC62" i="3"/>
  <c r="AC54" i="3"/>
  <c r="AA21" i="3"/>
  <c r="AC45" i="3"/>
  <c r="AA12" i="3"/>
  <c r="AC50" i="3"/>
  <c r="AA17" i="3"/>
  <c r="AA20" i="3"/>
  <c r="AC53" i="3"/>
  <c r="AA27" i="3"/>
  <c r="AC60" i="3"/>
  <c r="AA15" i="3"/>
  <c r="AC48" i="3"/>
  <c r="AC51" i="3"/>
  <c r="AA18" i="3"/>
  <c r="M26" i="9"/>
  <c r="T26" i="9"/>
  <c r="M28" i="9"/>
  <c r="T28" i="9"/>
  <c r="M25" i="9"/>
  <c r="T25" i="9"/>
  <c r="M24" i="9"/>
  <c r="T24" i="9"/>
  <c r="M23" i="9"/>
  <c r="T23" i="9"/>
  <c r="M27" i="9"/>
  <c r="T27" i="9"/>
  <c r="M29" i="9"/>
  <c r="T29" i="9"/>
  <c r="AE40" i="5"/>
  <c r="Z40" i="5"/>
  <c r="AE41" i="5"/>
  <c r="Z41" i="5"/>
  <c r="AE42" i="5"/>
  <c r="Z42" i="5"/>
  <c r="AE43" i="5"/>
  <c r="Z43" i="5"/>
  <c r="AE44" i="5"/>
  <c r="Z44" i="5"/>
  <c r="AE45" i="5"/>
  <c r="Z45" i="5"/>
  <c r="AE39" i="5"/>
  <c r="Z39" i="5"/>
  <c r="G47" i="9"/>
  <c r="H47" i="9" s="1"/>
  <c r="G48" i="9"/>
  <c r="G55" i="9"/>
  <c r="H55" i="9" s="1"/>
  <c r="G49" i="9"/>
  <c r="H49" i="9" s="1"/>
  <c r="G56" i="9"/>
  <c r="H56" i="9" s="1"/>
  <c r="W43" i="11"/>
  <c r="W44" i="11" s="1"/>
  <c r="W45" i="11" s="1"/>
  <c r="AB45" i="3"/>
  <c r="AB43" i="3"/>
  <c r="AB49" i="3"/>
  <c r="AB44" i="3"/>
  <c r="AB48" i="3"/>
  <c r="AB47" i="3"/>
  <c r="AB50" i="3"/>
  <c r="AB46" i="3"/>
  <c r="AB54" i="3"/>
  <c r="AB53" i="3"/>
  <c r="AB51" i="3"/>
  <c r="AB52" i="3"/>
  <c r="G43" i="9"/>
  <c r="H43" i="9" s="1"/>
  <c r="AB62" i="3"/>
  <c r="AB57" i="3"/>
  <c r="AB60" i="3"/>
  <c r="AB56" i="3"/>
  <c r="AB55" i="3"/>
  <c r="AB59" i="3"/>
  <c r="AB61" i="3"/>
  <c r="AB58" i="3"/>
  <c r="C52" i="3"/>
  <c r="D52" i="9"/>
  <c r="D19" i="9"/>
  <c r="D43" i="9"/>
  <c r="D10" i="9"/>
  <c r="C43" i="3"/>
  <c r="D50" i="9"/>
  <c r="D17" i="9"/>
  <c r="C50" i="3"/>
  <c r="D45" i="9"/>
  <c r="D12" i="9"/>
  <c r="C45" i="3"/>
  <c r="D46" i="9"/>
  <c r="D13" i="9"/>
  <c r="C46" i="3"/>
  <c r="D44" i="9"/>
  <c r="C44" i="3"/>
  <c r="D11" i="9"/>
  <c r="C47" i="3"/>
  <c r="D14" i="9"/>
  <c r="D47" i="9"/>
  <c r="D51" i="9"/>
  <c r="C51" i="3"/>
  <c r="D18" i="9"/>
  <c r="D16" i="9"/>
  <c r="C49" i="3"/>
  <c r="D49" i="9"/>
  <c r="D48" i="9"/>
  <c r="D15" i="9"/>
  <c r="C48" i="3"/>
  <c r="G51" i="9"/>
  <c r="H51" i="9" s="1"/>
  <c r="G58" i="9"/>
  <c r="H58" i="9" s="1"/>
  <c r="D54" i="9"/>
  <c r="D21" i="9"/>
  <c r="C54" i="3"/>
  <c r="D58" i="9"/>
  <c r="D25" i="9"/>
  <c r="C58" i="3"/>
  <c r="D55" i="9"/>
  <c r="C55" i="3"/>
  <c r="D22" i="9"/>
  <c r="C56" i="3"/>
  <c r="D23" i="9"/>
  <c r="D56" i="9"/>
  <c r="C53" i="3"/>
  <c r="D53" i="9"/>
  <c r="D20" i="9"/>
  <c r="D57" i="9"/>
  <c r="D24" i="9"/>
  <c r="C57" i="3"/>
  <c r="G50" i="9"/>
  <c r="H50" i="9" s="1"/>
  <c r="G46" i="9"/>
  <c r="H46" i="9" s="1"/>
  <c r="G54" i="9"/>
  <c r="H54" i="9" s="1"/>
  <c r="G53" i="9"/>
  <c r="H53" i="9" s="1"/>
  <c r="G44" i="9"/>
  <c r="H44" i="9" s="1"/>
  <c r="G57" i="9"/>
  <c r="H57" i="9" s="1"/>
  <c r="G52" i="9"/>
  <c r="H52" i="9" s="1"/>
  <c r="G45" i="9"/>
  <c r="H45" i="9" s="1"/>
  <c r="I10" i="9"/>
  <c r="J10" i="9"/>
  <c r="D60" i="9"/>
  <c r="C60" i="3"/>
  <c r="D27" i="9"/>
  <c r="G62" i="9"/>
  <c r="H62" i="9" s="1"/>
  <c r="D29" i="9"/>
  <c r="C62" i="3"/>
  <c r="D62" i="9"/>
  <c r="G59" i="9"/>
  <c r="H59" i="9" s="1"/>
  <c r="G60" i="9"/>
  <c r="H60" i="9" s="1"/>
  <c r="G61" i="9"/>
  <c r="H61" i="9" s="1"/>
  <c r="D59" i="9"/>
  <c r="C59" i="3"/>
  <c r="D26" i="9"/>
  <c r="D28" i="9"/>
  <c r="D61" i="9"/>
  <c r="C61" i="3"/>
  <c r="AA57" i="3"/>
  <c r="AA47" i="3"/>
  <c r="AA49" i="3"/>
  <c r="AA54" i="3"/>
  <c r="AA45" i="3"/>
  <c r="AA43" i="3"/>
  <c r="AA51" i="3"/>
  <c r="AA50" i="3"/>
  <c r="AA53" i="3"/>
  <c r="AA56" i="3"/>
  <c r="AA46" i="3"/>
  <c r="AA55" i="3"/>
  <c r="AA52" i="3"/>
  <c r="AA62" i="3"/>
  <c r="AA44" i="3"/>
  <c r="AA61" i="3"/>
  <c r="AA60" i="3"/>
  <c r="AA48" i="3"/>
  <c r="AA58" i="3"/>
  <c r="AA59" i="3"/>
  <c r="G59" i="3"/>
  <c r="K18" i="3"/>
  <c r="E57" i="3"/>
  <c r="G49" i="3"/>
  <c r="G56" i="3"/>
  <c r="I20" i="9"/>
  <c r="G45" i="3"/>
  <c r="J19" i="3"/>
  <c r="E43" i="3"/>
  <c r="K14" i="3"/>
  <c r="E44" i="3"/>
  <c r="I58" i="9"/>
  <c r="K29" i="3"/>
  <c r="J21" i="3"/>
  <c r="J15" i="3"/>
  <c r="J22" i="3"/>
  <c r="J17" i="3"/>
  <c r="K22" i="3"/>
  <c r="K10" i="3"/>
  <c r="J18" i="3"/>
  <c r="J29" i="3"/>
  <c r="F53" i="3"/>
  <c r="G50" i="3"/>
  <c r="K26" i="3"/>
  <c r="J17" i="9"/>
  <c r="I45" i="9"/>
  <c r="K19" i="3"/>
  <c r="J11" i="3"/>
  <c r="I62" i="9"/>
  <c r="I54" i="9"/>
  <c r="I46" i="9"/>
  <c r="I50" i="9"/>
  <c r="I49" i="9"/>
  <c r="I57" i="9"/>
  <c r="K23" i="3"/>
  <c r="E47" i="3"/>
  <c r="G47" i="3"/>
  <c r="F47" i="3"/>
  <c r="E48" i="3"/>
  <c r="G48" i="3"/>
  <c r="J14" i="9"/>
  <c r="E54" i="3"/>
  <c r="G54" i="3"/>
  <c r="J27" i="9"/>
  <c r="I25" i="9"/>
  <c r="J19" i="9"/>
  <c r="J29" i="9"/>
  <c r="I12" i="9"/>
  <c r="J13" i="9"/>
  <c r="J28" i="9"/>
  <c r="I23" i="9"/>
  <c r="J21" i="9"/>
  <c r="J11" i="9"/>
  <c r="K15" i="3"/>
  <c r="K27" i="3"/>
  <c r="J27" i="3"/>
  <c r="J24" i="9"/>
  <c r="I24" i="9"/>
  <c r="K11" i="3"/>
  <c r="J23" i="3"/>
  <c r="E53" i="3"/>
  <c r="G53" i="3"/>
  <c r="I14" i="9"/>
  <c r="J20" i="9"/>
  <c r="E59" i="3"/>
  <c r="G58" i="3"/>
  <c r="G51" i="3"/>
  <c r="G52" i="3"/>
  <c r="E45" i="3"/>
  <c r="E58" i="3"/>
  <c r="G60" i="3"/>
  <c r="G44" i="3"/>
  <c r="G43" i="3"/>
  <c r="G46" i="3"/>
  <c r="E55" i="3"/>
  <c r="G55" i="3"/>
  <c r="G62" i="3"/>
  <c r="E62" i="3"/>
  <c r="J22" i="9"/>
  <c r="I22" i="9"/>
  <c r="I53" i="9"/>
  <c r="J16" i="3"/>
  <c r="J20" i="3"/>
  <c r="J24" i="3"/>
  <c r="J28" i="3"/>
  <c r="E49" i="3"/>
  <c r="E51" i="3"/>
  <c r="I17" i="9"/>
  <c r="E52" i="3"/>
  <c r="I16" i="9"/>
  <c r="J12" i="3"/>
  <c r="G10" i="3"/>
  <c r="H10" i="3" s="1"/>
  <c r="K12" i="3"/>
  <c r="K16" i="3"/>
  <c r="K20" i="3"/>
  <c r="K24" i="3"/>
  <c r="K28" i="3"/>
  <c r="E50" i="3"/>
  <c r="G57" i="3"/>
  <c r="G61" i="3"/>
  <c r="E61" i="3"/>
  <c r="J15" i="9"/>
  <c r="I15" i="9"/>
  <c r="I61" i="9"/>
  <c r="E46" i="3"/>
  <c r="J16" i="9"/>
  <c r="K13" i="3"/>
  <c r="K17" i="3"/>
  <c r="K25" i="3"/>
  <c r="E56" i="3"/>
  <c r="E60" i="3"/>
  <c r="I28" i="9"/>
  <c r="J12" i="9"/>
  <c r="I18" i="9"/>
  <c r="J23" i="9"/>
  <c r="I43" i="9"/>
  <c r="I47" i="9"/>
  <c r="I51" i="9"/>
  <c r="I55" i="9"/>
  <c r="I59" i="9"/>
  <c r="I13" i="9"/>
  <c r="J18" i="9"/>
  <c r="J25" i="9"/>
  <c r="I11" i="9"/>
  <c r="I26" i="9"/>
  <c r="I44" i="9"/>
  <c r="I48" i="9"/>
  <c r="I52" i="9"/>
  <c r="I56" i="9"/>
  <c r="I60" i="9"/>
  <c r="I21" i="9"/>
  <c r="J26" i="9"/>
  <c r="I29" i="9"/>
  <c r="I19" i="9"/>
  <c r="K19" i="9" s="1"/>
  <c r="I27" i="9"/>
  <c r="N62" i="9" l="1"/>
  <c r="AC45" i="5" s="1"/>
  <c r="AF44" i="11" s="1"/>
  <c r="AF45" i="11" s="1"/>
  <c r="K62" i="9"/>
  <c r="K61" i="9"/>
  <c r="N61" i="9"/>
  <c r="AC44" i="5" s="1"/>
  <c r="AF42" i="11" s="1"/>
  <c r="AF43" i="11" s="1"/>
  <c r="N59" i="9"/>
  <c r="AC42" i="5" s="1"/>
  <c r="AF38" i="11" s="1"/>
  <c r="AF39" i="11" s="1"/>
  <c r="N58" i="9"/>
  <c r="AC41" i="5" s="1"/>
  <c r="AF36" i="11" s="1"/>
  <c r="AF37" i="11" s="1"/>
  <c r="K55" i="9"/>
  <c r="K56" i="9"/>
  <c r="N56" i="9"/>
  <c r="AC39" i="5" s="1"/>
  <c r="AF32" i="11" s="1"/>
  <c r="AF33" i="11" s="1"/>
  <c r="N57" i="9"/>
  <c r="AC40" i="5" s="1"/>
  <c r="AF34" i="11" s="1"/>
  <c r="AF35" i="11" s="1"/>
  <c r="N54" i="9"/>
  <c r="AC37" i="5" s="1"/>
  <c r="AF28" i="11" s="1"/>
  <c r="AF29" i="11" s="1"/>
  <c r="N55" i="9"/>
  <c r="AC38" i="5" s="1"/>
  <c r="AF30" i="11" s="1"/>
  <c r="AF31" i="11" s="1"/>
  <c r="N43" i="9"/>
  <c r="AC26" i="5" s="1"/>
  <c r="AF6" i="11" s="1"/>
  <c r="AF7" i="11" s="1"/>
  <c r="K59" i="9"/>
  <c r="K53" i="9"/>
  <c r="K57" i="9"/>
  <c r="K58" i="9"/>
  <c r="K60" i="9"/>
  <c r="K43" i="9"/>
  <c r="N60" i="9"/>
  <c r="AC43" i="5" s="1"/>
  <c r="AF40" i="11" s="1"/>
  <c r="AF41" i="11" s="1"/>
  <c r="K54" i="9"/>
  <c r="N53" i="9"/>
  <c r="AC36" i="5" s="1"/>
  <c r="AF26" i="11" s="1"/>
  <c r="AF27" i="11" s="1"/>
  <c r="N49" i="9"/>
  <c r="AC32" i="5" s="1"/>
  <c r="AF18" i="11" s="1"/>
  <c r="AF19" i="11" s="1"/>
  <c r="K49" i="9"/>
  <c r="K52" i="9"/>
  <c r="N50" i="9"/>
  <c r="AC33" i="5" s="1"/>
  <c r="AF20" i="11" s="1"/>
  <c r="AF21" i="11" s="1"/>
  <c r="N51" i="9"/>
  <c r="AC34" i="5" s="1"/>
  <c r="AF22" i="11" s="1"/>
  <c r="AF23" i="11" s="1"/>
  <c r="K46" i="9"/>
  <c r="K51" i="9"/>
  <c r="N52" i="9"/>
  <c r="AC35" i="5" s="1"/>
  <c r="AF24" i="11" s="1"/>
  <c r="AF25" i="11" s="1"/>
  <c r="K50" i="9"/>
  <c r="H48" i="9"/>
  <c r="N48" i="9" s="1"/>
  <c r="AC31" i="5" s="1"/>
  <c r="AF16" i="11" s="1"/>
  <c r="AF17" i="11" s="1"/>
  <c r="N46" i="9"/>
  <c r="AC29" i="5" s="1"/>
  <c r="AF12" i="11" s="1"/>
  <c r="AF13" i="11" s="1"/>
  <c r="K47" i="9"/>
  <c r="K45" i="9"/>
  <c r="K44" i="9"/>
  <c r="N45" i="9"/>
  <c r="AC28" i="5" s="1"/>
  <c r="AF10" i="11" s="1"/>
  <c r="AF11" i="11" s="1"/>
  <c r="N47" i="9"/>
  <c r="AC30" i="5" s="1"/>
  <c r="AF14" i="11" s="1"/>
  <c r="AF15" i="11" s="1"/>
  <c r="N44" i="9"/>
  <c r="AC27" i="5" s="1"/>
  <c r="AF8" i="11" s="1"/>
  <c r="AF9" i="11" s="1"/>
  <c r="G11" i="3"/>
  <c r="H11" i="3" s="1"/>
  <c r="K10" i="9"/>
  <c r="K11" i="9"/>
  <c r="K20" i="9"/>
  <c r="K14" i="9"/>
  <c r="K24" i="9"/>
  <c r="K23" i="9"/>
  <c r="K29" i="9"/>
  <c r="K13" i="9"/>
  <c r="K27" i="9"/>
  <c r="H53" i="3"/>
  <c r="K28" i="9"/>
  <c r="K26" i="9"/>
  <c r="F62" i="3"/>
  <c r="H62" i="3" s="1"/>
  <c r="F49" i="3"/>
  <c r="H49" i="3" s="1"/>
  <c r="F52" i="3"/>
  <c r="H52" i="3" s="1"/>
  <c r="F51" i="3"/>
  <c r="H51" i="3" s="1"/>
  <c r="F50" i="3"/>
  <c r="H50" i="3" s="1"/>
  <c r="F43" i="3"/>
  <c r="H43" i="3" s="1"/>
  <c r="J43" i="3" s="1"/>
  <c r="K12" i="9"/>
  <c r="F48" i="3"/>
  <c r="H48" i="3" s="1"/>
  <c r="K17" i="9"/>
  <c r="F54" i="3"/>
  <c r="H54" i="3" s="1"/>
  <c r="F55" i="3"/>
  <c r="H55" i="3" s="1"/>
  <c r="F60" i="3"/>
  <c r="H60" i="3" s="1"/>
  <c r="F45" i="3"/>
  <c r="H45" i="3" s="1"/>
  <c r="F61" i="3"/>
  <c r="H61" i="3" s="1"/>
  <c r="K16" i="9"/>
  <c r="K22" i="9"/>
  <c r="F44" i="3"/>
  <c r="H44" i="3" s="1"/>
  <c r="F46" i="3"/>
  <c r="H46" i="3" s="1"/>
  <c r="K18" i="9"/>
  <c r="F56" i="3"/>
  <c r="H56" i="3" s="1"/>
  <c r="K15" i="9"/>
  <c r="F57" i="3"/>
  <c r="H57" i="3" s="1"/>
  <c r="F59" i="3"/>
  <c r="H59" i="3" s="1"/>
  <c r="F58" i="3"/>
  <c r="H58" i="3" s="1"/>
  <c r="K21" i="9"/>
  <c r="K25" i="9"/>
  <c r="H47" i="3"/>
  <c r="G10" i="9"/>
  <c r="J62" i="3" l="1"/>
  <c r="E55" i="7" s="1"/>
  <c r="J61" i="3"/>
  <c r="E54" i="7" s="1"/>
  <c r="J56" i="3"/>
  <c r="E49" i="7" s="1"/>
  <c r="J52" i="3"/>
  <c r="Q35" i="5" s="1"/>
  <c r="M24" i="11" s="1"/>
  <c r="M25" i="11" s="1"/>
  <c r="J58" i="3"/>
  <c r="Q41" i="5" s="1"/>
  <c r="M36" i="11" s="1"/>
  <c r="M37" i="11" s="1"/>
  <c r="J48" i="3"/>
  <c r="E41" i="7" s="1"/>
  <c r="J51" i="3"/>
  <c r="E44" i="7" s="1"/>
  <c r="J55" i="3"/>
  <c r="Q38" i="5" s="1"/>
  <c r="M30" i="11" s="1"/>
  <c r="M31" i="11" s="1"/>
  <c r="J46" i="3"/>
  <c r="E39" i="7" s="1"/>
  <c r="J49" i="3"/>
  <c r="Q32" i="5" s="1"/>
  <c r="M18" i="11" s="1"/>
  <c r="M19" i="11" s="1"/>
  <c r="J44" i="3"/>
  <c r="E37" i="7" s="1"/>
  <c r="J59" i="3"/>
  <c r="Q42" i="5" s="1"/>
  <c r="M38" i="11" s="1"/>
  <c r="M39" i="11" s="1"/>
  <c r="J54" i="3"/>
  <c r="E47" i="7" s="1"/>
  <c r="J57" i="3"/>
  <c r="Q40" i="5" s="1"/>
  <c r="M34" i="11" s="1"/>
  <c r="M35" i="11" s="1"/>
  <c r="J53" i="3"/>
  <c r="E46" i="7" s="1"/>
  <c r="J60" i="3"/>
  <c r="E53" i="7" s="1"/>
  <c r="J47" i="3"/>
  <c r="E40" i="7" s="1"/>
  <c r="J45" i="3"/>
  <c r="E38" i="7" s="1"/>
  <c r="J50" i="3"/>
  <c r="E43" i="7" s="1"/>
  <c r="AB40" i="5"/>
  <c r="AE34" i="11" s="1"/>
  <c r="AE35" i="11" s="1"/>
  <c r="E47" i="13"/>
  <c r="AB33" i="5"/>
  <c r="AE20" i="11" s="1"/>
  <c r="AE21" i="11" s="1"/>
  <c r="E40" i="13"/>
  <c r="AB36" i="5"/>
  <c r="AE26" i="11" s="1"/>
  <c r="AE27" i="11" s="1"/>
  <c r="E43" i="13"/>
  <c r="AB38" i="5"/>
  <c r="AE30" i="11" s="1"/>
  <c r="AE31" i="11" s="1"/>
  <c r="E45" i="13"/>
  <c r="AB42" i="5"/>
  <c r="AE38" i="11" s="1"/>
  <c r="AE39" i="11" s="1"/>
  <c r="E49" i="13"/>
  <c r="AB32" i="5"/>
  <c r="AE18" i="11" s="1"/>
  <c r="AE19" i="11" s="1"/>
  <c r="E39" i="13"/>
  <c r="AB37" i="5"/>
  <c r="AE28" i="11" s="1"/>
  <c r="AE29" i="11" s="1"/>
  <c r="E44" i="13"/>
  <c r="AB27" i="5"/>
  <c r="AE8" i="11" s="1"/>
  <c r="AE9" i="11" s="1"/>
  <c r="E34" i="13"/>
  <c r="AB29" i="5"/>
  <c r="AE12" i="11" s="1"/>
  <c r="AE13" i="11" s="1"/>
  <c r="E36" i="13"/>
  <c r="AB39" i="5"/>
  <c r="AE32" i="11" s="1"/>
  <c r="AE33" i="11" s="1"/>
  <c r="E46" i="13"/>
  <c r="AB34" i="5"/>
  <c r="AE22" i="11" s="1"/>
  <c r="AE23" i="11" s="1"/>
  <c r="E41" i="13"/>
  <c r="AB28" i="5"/>
  <c r="AE10" i="11" s="1"/>
  <c r="AE11" i="11" s="1"/>
  <c r="E35" i="13"/>
  <c r="AB26" i="5"/>
  <c r="AE6" i="11" s="1"/>
  <c r="AE7" i="11" s="1"/>
  <c r="E33" i="13"/>
  <c r="AB44" i="5"/>
  <c r="AE42" i="11" s="1"/>
  <c r="AE43" i="11" s="1"/>
  <c r="E51" i="13"/>
  <c r="AB30" i="5"/>
  <c r="AE14" i="11" s="1"/>
  <c r="AE15" i="11" s="1"/>
  <c r="E37" i="13"/>
  <c r="AB43" i="5"/>
  <c r="AE40" i="11" s="1"/>
  <c r="AE41" i="11" s="1"/>
  <c r="E50" i="13"/>
  <c r="AB45" i="5"/>
  <c r="AE44" i="11" s="1"/>
  <c r="AE45" i="11" s="1"/>
  <c r="E52" i="13"/>
  <c r="AB35" i="5"/>
  <c r="AE24" i="11" s="1"/>
  <c r="AE25" i="11" s="1"/>
  <c r="E42" i="13"/>
  <c r="AB41" i="5"/>
  <c r="AE36" i="11" s="1"/>
  <c r="AE37" i="11" s="1"/>
  <c r="E48" i="13"/>
  <c r="K48" i="9"/>
  <c r="G11" i="9"/>
  <c r="G12" i="3"/>
  <c r="H12" i="3" s="1"/>
  <c r="I11" i="3"/>
  <c r="Y43" i="3"/>
  <c r="Z43" i="3" s="1"/>
  <c r="H10" i="9"/>
  <c r="I10" i="3"/>
  <c r="Q45" i="5" l="1"/>
  <c r="M44" i="11" s="1"/>
  <c r="M45" i="11" s="1"/>
  <c r="Q44" i="5"/>
  <c r="M42" i="11" s="1"/>
  <c r="M43" i="11" s="1"/>
  <c r="Q36" i="5"/>
  <c r="M26" i="11" s="1"/>
  <c r="M27" i="11" s="1"/>
  <c r="Q43" i="5"/>
  <c r="M40" i="11" s="1"/>
  <c r="M41" i="11" s="1"/>
  <c r="Q39" i="5"/>
  <c r="M32" i="11" s="1"/>
  <c r="M33" i="11" s="1"/>
  <c r="Q33" i="5"/>
  <c r="M20" i="11" s="1"/>
  <c r="M21" i="11" s="1"/>
  <c r="Q27" i="5"/>
  <c r="M8" i="11" s="1"/>
  <c r="M9" i="11" s="1"/>
  <c r="Q34" i="5"/>
  <c r="M22" i="11" s="1"/>
  <c r="M23" i="11" s="1"/>
  <c r="Q29" i="5"/>
  <c r="M12" i="11" s="1"/>
  <c r="M13" i="11" s="1"/>
  <c r="E50" i="7"/>
  <c r="E51" i="7"/>
  <c r="E42" i="7"/>
  <c r="Q31" i="5"/>
  <c r="M16" i="11" s="1"/>
  <c r="M17" i="11" s="1"/>
  <c r="E52" i="7"/>
  <c r="E48" i="7"/>
  <c r="E45" i="7"/>
  <c r="AB31" i="5"/>
  <c r="AE16" i="11" s="1"/>
  <c r="AE17" i="11" s="1"/>
  <c r="E38" i="13"/>
  <c r="M43" i="3"/>
  <c r="R26" i="5" s="1"/>
  <c r="N6" i="11" s="1"/>
  <c r="N7" i="11" s="1"/>
  <c r="E36" i="7"/>
  <c r="Q26" i="5"/>
  <c r="M6" i="11" s="1"/>
  <c r="M7" i="11" s="1"/>
  <c r="G12" i="9"/>
  <c r="M44" i="3"/>
  <c r="Y44" i="3"/>
  <c r="Z44" i="3" s="1"/>
  <c r="H11" i="9"/>
  <c r="G13" i="3"/>
  <c r="H12" i="9"/>
  <c r="Q28" i="5"/>
  <c r="M10" i="11" s="1"/>
  <c r="M11" i="11" s="1"/>
  <c r="Q30" i="5"/>
  <c r="M14" i="11" s="1"/>
  <c r="M15" i="11" s="1"/>
  <c r="Q37" i="5"/>
  <c r="M28" i="11" s="1"/>
  <c r="M29" i="11" s="1"/>
  <c r="R27" i="5" l="1"/>
  <c r="N8" i="11" s="1"/>
  <c r="N9" i="11" s="1"/>
  <c r="G13" i="9"/>
  <c r="H13" i="3"/>
  <c r="M45" i="3"/>
  <c r="Y45" i="3"/>
  <c r="Z45" i="3" s="1"/>
  <c r="I12" i="3"/>
  <c r="G14" i="3"/>
  <c r="R28" i="5" l="1"/>
  <c r="N10" i="11" s="1"/>
  <c r="N11" i="11" s="1"/>
  <c r="G14" i="9"/>
  <c r="H14" i="3"/>
  <c r="H13" i="9"/>
  <c r="M46" i="3"/>
  <c r="I13" i="3"/>
  <c r="Y46" i="3"/>
  <c r="Z46" i="3" s="1"/>
  <c r="G15" i="3"/>
  <c r="H15" i="3" s="1"/>
  <c r="R29" i="5" l="1"/>
  <c r="N12" i="11" s="1"/>
  <c r="N13" i="11" s="1"/>
  <c r="M47" i="3"/>
  <c r="I14" i="3"/>
  <c r="H14" i="9"/>
  <c r="Y47" i="3"/>
  <c r="Z47" i="3" s="1"/>
  <c r="G16" i="3"/>
  <c r="G15" i="9"/>
  <c r="R30" i="5" l="1"/>
  <c r="N14" i="11" s="1"/>
  <c r="N15" i="11" s="1"/>
  <c r="G16" i="9"/>
  <c r="H16" i="3"/>
  <c r="M48" i="3"/>
  <c r="Y48" i="3"/>
  <c r="Z48" i="3" s="1"/>
  <c r="H15" i="9"/>
  <c r="I15" i="3"/>
  <c r="G17" i="3"/>
  <c r="R31" i="5" l="1"/>
  <c r="N16" i="11" s="1"/>
  <c r="N17" i="11" s="1"/>
  <c r="G17" i="9"/>
  <c r="H17" i="3"/>
  <c r="M49" i="3"/>
  <c r="Y49" i="3"/>
  <c r="Z49" i="3" s="1"/>
  <c r="H16" i="9"/>
  <c r="I16" i="3"/>
  <c r="G18" i="3"/>
  <c r="G18" i="9" l="1"/>
  <c r="H18" i="3"/>
  <c r="R32" i="5"/>
  <c r="N18" i="11" s="1"/>
  <c r="N19" i="11" s="1"/>
  <c r="I17" i="3"/>
  <c r="M50" i="3"/>
  <c r="Y50" i="3"/>
  <c r="Z50" i="3" s="1"/>
  <c r="H17" i="9"/>
  <c r="G19" i="3"/>
  <c r="G19" i="9" l="1"/>
  <c r="H19" i="3"/>
  <c r="I19" i="3" s="1"/>
  <c r="M51" i="3"/>
  <c r="R34" i="5" s="1"/>
  <c r="N22" i="11" s="1"/>
  <c r="N23" i="11" s="1"/>
  <c r="R33" i="5"/>
  <c r="N20" i="11" s="1"/>
  <c r="N21" i="11" s="1"/>
  <c r="I18" i="3"/>
  <c r="Y51" i="3"/>
  <c r="Z51" i="3" s="1"/>
  <c r="H18" i="9"/>
  <c r="G20" i="3"/>
  <c r="H20" i="3" s="1"/>
  <c r="M53" i="3" l="1"/>
  <c r="R36" i="5" s="1"/>
  <c r="N26" i="11" s="1"/>
  <c r="N27" i="11" s="1"/>
  <c r="M52" i="3"/>
  <c r="R35" i="5" s="1"/>
  <c r="N24" i="11" s="1"/>
  <c r="N25" i="11" s="1"/>
  <c r="Y52" i="3"/>
  <c r="Z52" i="3" s="1"/>
  <c r="H19" i="9"/>
  <c r="G21" i="3"/>
  <c r="G20" i="9"/>
  <c r="G21" i="9" l="1"/>
  <c r="H21" i="3"/>
  <c r="I20" i="3"/>
  <c r="H20" i="9"/>
  <c r="Y53" i="3"/>
  <c r="Z53" i="3" s="1"/>
  <c r="G22" i="3"/>
  <c r="G22" i="9" l="1"/>
  <c r="H22" i="3"/>
  <c r="M54" i="3"/>
  <c r="R37" i="5" s="1"/>
  <c r="N28" i="11" s="1"/>
  <c r="N29" i="11" s="1"/>
  <c r="I21" i="3"/>
  <c r="Y54" i="3"/>
  <c r="Z54" i="3" s="1"/>
  <c r="H21" i="9"/>
  <c r="G23" i="3"/>
  <c r="G23" i="9" l="1"/>
  <c r="H23" i="3"/>
  <c r="M55" i="3"/>
  <c r="R38" i="5" s="1"/>
  <c r="N30" i="11" s="1"/>
  <c r="N31" i="11" s="1"/>
  <c r="I22" i="3"/>
  <c r="G24" i="3"/>
  <c r="Y55" i="3"/>
  <c r="Z55" i="3" s="1"/>
  <c r="H22" i="9"/>
  <c r="G24" i="9" l="1"/>
  <c r="H24" i="3"/>
  <c r="Y56" i="3"/>
  <c r="Z56" i="3" s="1"/>
  <c r="M56" i="3"/>
  <c r="R39" i="5" s="1"/>
  <c r="N32" i="11" s="1"/>
  <c r="N33" i="11" s="1"/>
  <c r="I23" i="3"/>
  <c r="H23" i="9"/>
  <c r="G25" i="3"/>
  <c r="G25" i="9" l="1"/>
  <c r="H25" i="3"/>
  <c r="M57" i="3"/>
  <c r="R40" i="5" s="1"/>
  <c r="N34" i="11" s="1"/>
  <c r="N35" i="11" s="1"/>
  <c r="Y57" i="3"/>
  <c r="Z57" i="3" s="1"/>
  <c r="H24" i="9"/>
  <c r="I24" i="3"/>
  <c r="G26" i="3"/>
  <c r="H26" i="3" s="1"/>
  <c r="M59" i="3" l="1"/>
  <c r="R42" i="5" s="1"/>
  <c r="N38" i="11" s="1"/>
  <c r="N39" i="11" s="1"/>
  <c r="M58" i="3"/>
  <c r="R41" i="5" s="1"/>
  <c r="N36" i="11" s="1"/>
  <c r="N37" i="11" s="1"/>
  <c r="G27" i="3"/>
  <c r="H27" i="3" s="1"/>
  <c r="Y58" i="3"/>
  <c r="Z58" i="3" s="1"/>
  <c r="I25" i="3"/>
  <c r="G26" i="9"/>
  <c r="H25" i="9"/>
  <c r="M60" i="3" l="1"/>
  <c r="H26" i="9"/>
  <c r="Y59" i="3"/>
  <c r="Z59" i="3" s="1"/>
  <c r="I26" i="3"/>
  <c r="G28" i="3"/>
  <c r="H28" i="3" s="1"/>
  <c r="H27" i="9"/>
  <c r="G27" i="9"/>
  <c r="M61" i="3" l="1"/>
  <c r="R44" i="5" s="1"/>
  <c r="N42" i="11" s="1"/>
  <c r="N43" i="11" s="1"/>
  <c r="R43" i="5"/>
  <c r="N40" i="11" s="1"/>
  <c r="N41" i="11" s="1"/>
  <c r="G29" i="3"/>
  <c r="H29" i="3" s="1"/>
  <c r="G28" i="9"/>
  <c r="I27" i="3"/>
  <c r="Y60" i="3"/>
  <c r="Z60" i="3" s="1"/>
  <c r="M62" i="3" l="1"/>
  <c r="R45" i="5" s="1"/>
  <c r="N44" i="11" s="1"/>
  <c r="N45" i="11" s="1"/>
  <c r="G29" i="9"/>
  <c r="Y61" i="3"/>
  <c r="Z61" i="3" s="1"/>
  <c r="H28" i="9"/>
  <c r="I28" i="3"/>
  <c r="I29" i="3"/>
  <c r="H29" i="9"/>
  <c r="Y62" i="3"/>
  <c r="Z62" i="3" s="1"/>
  <c r="AB22" i="3" l="1"/>
  <c r="AB23" i="3"/>
  <c r="AB24" i="3"/>
  <c r="AB25" i="3"/>
  <c r="AB26" i="3"/>
  <c r="AB27" i="3"/>
  <c r="AB28" i="3"/>
  <c r="AB29" i="3"/>
  <c r="AD55" i="3"/>
  <c r="AD56" i="3"/>
  <c r="AD57" i="3"/>
  <c r="AD58" i="3"/>
  <c r="AD59" i="3"/>
  <c r="AD60" i="3"/>
  <c r="AD61" i="3"/>
  <c r="AD62" i="3"/>
  <c r="AG59" i="3" l="1"/>
  <c r="B59" i="3"/>
  <c r="L59" i="3" s="1"/>
  <c r="B58" i="3"/>
  <c r="L58" i="3" s="1"/>
  <c r="B62" i="3"/>
  <c r="L62" i="3" s="1"/>
  <c r="AG57" i="3"/>
  <c r="B57" i="3"/>
  <c r="L57" i="3" s="1"/>
  <c r="B56" i="3"/>
  <c r="L56" i="3" s="1"/>
  <c r="AG61" i="3"/>
  <c r="B61" i="3"/>
  <c r="B60" i="3"/>
  <c r="AG55" i="3"/>
  <c r="B55" i="3"/>
  <c r="AG62" i="3"/>
  <c r="AG60" i="3"/>
  <c r="AG58" i="3"/>
  <c r="AG56" i="3"/>
  <c r="D61" i="3" l="1"/>
  <c r="D51" i="13" s="1"/>
  <c r="F51" i="13" s="1"/>
  <c r="G51" i="13" s="1"/>
  <c r="Q51" i="13" s="1"/>
  <c r="L61" i="3"/>
  <c r="B60" i="9"/>
  <c r="L60" i="3"/>
  <c r="B55" i="9"/>
  <c r="L55" i="3"/>
  <c r="L51" i="3"/>
  <c r="B59" i="9"/>
  <c r="D59" i="3"/>
  <c r="D49" i="13" s="1"/>
  <c r="F49" i="13" s="1"/>
  <c r="G49" i="13" s="1"/>
  <c r="Q49" i="13" s="1"/>
  <c r="D55" i="3"/>
  <c r="D45" i="13" s="1"/>
  <c r="F45" i="13" s="1"/>
  <c r="G45" i="13" s="1"/>
  <c r="Q45" i="13" s="1"/>
  <c r="D57" i="3"/>
  <c r="D47" i="13" s="1"/>
  <c r="F47" i="13" s="1"/>
  <c r="G47" i="13" s="1"/>
  <c r="Q47" i="13" s="1"/>
  <c r="B57" i="9"/>
  <c r="D62" i="3"/>
  <c r="D52" i="13" s="1"/>
  <c r="F52" i="13" s="1"/>
  <c r="G52" i="13" s="1"/>
  <c r="Q52" i="13" s="1"/>
  <c r="B62" i="9"/>
  <c r="B58" i="9"/>
  <c r="D58" i="3"/>
  <c r="D48" i="13" s="1"/>
  <c r="F48" i="13" s="1"/>
  <c r="G48" i="13" s="1"/>
  <c r="Q48" i="13" s="1"/>
  <c r="B56" i="9"/>
  <c r="D56" i="3"/>
  <c r="D46" i="13" s="1"/>
  <c r="F46" i="13" s="1"/>
  <c r="G46" i="13" s="1"/>
  <c r="Q46" i="13" s="1"/>
  <c r="B61" i="9"/>
  <c r="D60" i="3"/>
  <c r="D50" i="13" s="1"/>
  <c r="F50" i="13" s="1"/>
  <c r="G50" i="13" s="1"/>
  <c r="Q50" i="13" s="1"/>
  <c r="S52" i="13" l="1"/>
  <c r="T52" i="13" s="1"/>
  <c r="U52" i="13" s="1"/>
  <c r="M52" i="13"/>
  <c r="M51" i="13"/>
  <c r="S51" i="13"/>
  <c r="T51" i="13" s="1"/>
  <c r="M48" i="13"/>
  <c r="S48" i="13"/>
  <c r="T48" i="13" s="1"/>
  <c r="S49" i="13"/>
  <c r="T49" i="13" s="1"/>
  <c r="M49" i="13"/>
  <c r="M46" i="13"/>
  <c r="S46" i="13"/>
  <c r="T46" i="13" s="1"/>
  <c r="M50" i="13"/>
  <c r="S50" i="13"/>
  <c r="T50" i="13" s="1"/>
  <c r="M45" i="13"/>
  <c r="S45" i="13"/>
  <c r="T45" i="13" s="1"/>
  <c r="M47" i="13"/>
  <c r="S47" i="13"/>
  <c r="T47" i="13" s="1"/>
  <c r="D55" i="7"/>
  <c r="N62" i="3"/>
  <c r="P44" i="11" s="1"/>
  <c r="P45" i="11" s="1"/>
  <c r="AA44" i="5"/>
  <c r="AD42" i="11" s="1"/>
  <c r="AD43" i="11" s="1"/>
  <c r="D54" i="7"/>
  <c r="N61" i="3"/>
  <c r="P42" i="11" s="1"/>
  <c r="P43" i="11" s="1"/>
  <c r="N55" i="3"/>
  <c r="P30" i="11" s="1"/>
  <c r="P31" i="11" s="1"/>
  <c r="D48" i="7"/>
  <c r="N56" i="3"/>
  <c r="P32" i="11" s="1"/>
  <c r="P33" i="11" s="1"/>
  <c r="D49" i="7"/>
  <c r="N57" i="3"/>
  <c r="P34" i="11" s="1"/>
  <c r="P35" i="11" s="1"/>
  <c r="D50" i="7"/>
  <c r="N60" i="3"/>
  <c r="P40" i="11" s="1"/>
  <c r="P41" i="11" s="1"/>
  <c r="D53" i="7"/>
  <c r="N59" i="3"/>
  <c r="P38" i="11" s="1"/>
  <c r="P39" i="11" s="1"/>
  <c r="D52" i="7"/>
  <c r="N58" i="3"/>
  <c r="P36" i="11" s="1"/>
  <c r="P37" i="11" s="1"/>
  <c r="D51" i="7"/>
  <c r="F55" i="9"/>
  <c r="O55" i="9" s="1"/>
  <c r="L55" i="9" s="1"/>
  <c r="M55" i="9"/>
  <c r="P44" i="5"/>
  <c r="L42" i="11" s="1"/>
  <c r="L43" i="11" s="1"/>
  <c r="M60" i="9"/>
  <c r="F60" i="9"/>
  <c r="O60" i="9" s="1"/>
  <c r="AH40" i="11" s="1"/>
  <c r="AH41" i="11" s="1"/>
  <c r="K62" i="3"/>
  <c r="S45" i="5" s="1"/>
  <c r="O44" i="11" s="1"/>
  <c r="O45" i="11" s="1"/>
  <c r="K61" i="3"/>
  <c r="S44" i="5" s="1"/>
  <c r="O42" i="11" s="1"/>
  <c r="O43" i="11" s="1"/>
  <c r="P43" i="5"/>
  <c r="L40" i="11" s="1"/>
  <c r="L41" i="11" s="1"/>
  <c r="K60" i="3"/>
  <c r="S43" i="5" s="1"/>
  <c r="O40" i="11" s="1"/>
  <c r="O41" i="11" s="1"/>
  <c r="AA42" i="5"/>
  <c r="AD38" i="11" s="1"/>
  <c r="AD39" i="11" s="1"/>
  <c r="K59" i="3"/>
  <c r="S42" i="5" s="1"/>
  <c r="O38" i="11" s="1"/>
  <c r="O39" i="11" s="1"/>
  <c r="AA41" i="5"/>
  <c r="AD36" i="11" s="1"/>
  <c r="AD37" i="11" s="1"/>
  <c r="K58" i="3"/>
  <c r="S41" i="5" s="1"/>
  <c r="O36" i="11" s="1"/>
  <c r="O37" i="11" s="1"/>
  <c r="K57" i="3"/>
  <c r="S40" i="5" s="1"/>
  <c r="O34" i="11" s="1"/>
  <c r="O35" i="11" s="1"/>
  <c r="K56" i="3"/>
  <c r="S39" i="5" s="1"/>
  <c r="O32" i="11" s="1"/>
  <c r="O33" i="11" s="1"/>
  <c r="P38" i="5"/>
  <c r="L30" i="11" s="1"/>
  <c r="L31" i="11" s="1"/>
  <c r="K55" i="3"/>
  <c r="S38" i="5" s="1"/>
  <c r="O30" i="11" s="1"/>
  <c r="O31" i="11" s="1"/>
  <c r="K51" i="3"/>
  <c r="S34" i="5" s="1"/>
  <c r="O22" i="11" s="1"/>
  <c r="O23" i="11" s="1"/>
  <c r="M61" i="9"/>
  <c r="M56" i="9"/>
  <c r="M57" i="9"/>
  <c r="M59" i="9"/>
  <c r="P42" i="5"/>
  <c r="L38" i="11" s="1"/>
  <c r="L39" i="11" s="1"/>
  <c r="F59" i="9"/>
  <c r="O59" i="9" s="1"/>
  <c r="AA38" i="5"/>
  <c r="AD30" i="11" s="1"/>
  <c r="AD31" i="11" s="1"/>
  <c r="AA40" i="5"/>
  <c r="AD34" i="11" s="1"/>
  <c r="AD35" i="11" s="1"/>
  <c r="F58" i="9"/>
  <c r="O58" i="9" s="1"/>
  <c r="AA43" i="5"/>
  <c r="AD40" i="11" s="1"/>
  <c r="AD41" i="11" s="1"/>
  <c r="P41" i="5"/>
  <c r="L36" i="11" s="1"/>
  <c r="L37" i="11" s="1"/>
  <c r="M58" i="9"/>
  <c r="F56" i="9"/>
  <c r="O56" i="9" s="1"/>
  <c r="F61" i="9"/>
  <c r="O61" i="9" s="1"/>
  <c r="P40" i="5"/>
  <c r="L34" i="11" s="1"/>
  <c r="L35" i="11" s="1"/>
  <c r="F57" i="9"/>
  <c r="O57" i="9" s="1"/>
  <c r="AH34" i="11" s="1"/>
  <c r="AH35" i="11" s="1"/>
  <c r="P45" i="5"/>
  <c r="L44" i="11" s="1"/>
  <c r="L45" i="11" s="1"/>
  <c r="AA45" i="5"/>
  <c r="AD44" i="11" s="1"/>
  <c r="AD45" i="11" s="1"/>
  <c r="F62" i="9"/>
  <c r="O62" i="9" s="1"/>
  <c r="M62" i="9"/>
  <c r="P39" i="5"/>
  <c r="L32" i="11" s="1"/>
  <c r="L33" i="11" s="1"/>
  <c r="AA39" i="5"/>
  <c r="AD32" i="11" s="1"/>
  <c r="AD33" i="11" s="1"/>
  <c r="U51" i="13" l="1"/>
  <c r="F55" i="7"/>
  <c r="G55" i="7"/>
  <c r="F54" i="7"/>
  <c r="G54" i="7"/>
  <c r="F53" i="7"/>
  <c r="G53" i="7"/>
  <c r="F51" i="7"/>
  <c r="G51" i="7"/>
  <c r="G49" i="7"/>
  <c r="F49" i="7"/>
  <c r="F50" i="7"/>
  <c r="G50" i="7"/>
  <c r="F52" i="7"/>
  <c r="G52" i="7"/>
  <c r="F48" i="7"/>
  <c r="G48" i="7"/>
  <c r="L60" i="9"/>
  <c r="AD43" i="5" s="1"/>
  <c r="AG40" i="11" s="1"/>
  <c r="AG41" i="11" s="1"/>
  <c r="AH30" i="11"/>
  <c r="AH31" i="11" s="1"/>
  <c r="AD38" i="5"/>
  <c r="AG30" i="11" s="1"/>
  <c r="AG31" i="11" s="1"/>
  <c r="L58" i="9"/>
  <c r="AD41" i="5" s="1"/>
  <c r="AG36" i="11" s="1"/>
  <c r="AG37" i="11" s="1"/>
  <c r="AH36" i="11"/>
  <c r="AH37" i="11" s="1"/>
  <c r="L59" i="9"/>
  <c r="AD42" i="5" s="1"/>
  <c r="AG38" i="11" s="1"/>
  <c r="AG39" i="11" s="1"/>
  <c r="AH38" i="11"/>
  <c r="AH39" i="11" s="1"/>
  <c r="L62" i="9"/>
  <c r="AD45" i="5" s="1"/>
  <c r="AG44" i="11" s="1"/>
  <c r="AG45" i="11" s="1"/>
  <c r="AH44" i="11"/>
  <c r="AH45" i="11" s="1"/>
  <c r="L61" i="9"/>
  <c r="AD44" i="5" s="1"/>
  <c r="AG42" i="11" s="1"/>
  <c r="AG43" i="11" s="1"/>
  <c r="AH42" i="11"/>
  <c r="AH43" i="11" s="1"/>
  <c r="L56" i="9"/>
  <c r="AD39" i="5" s="1"/>
  <c r="AG32" i="11" s="1"/>
  <c r="AG33" i="11" s="1"/>
  <c r="AH32" i="11"/>
  <c r="AH33" i="11" s="1"/>
  <c r="L57" i="9"/>
  <c r="AD40" i="5" s="1"/>
  <c r="AG34" i="11" s="1"/>
  <c r="AG35" i="11" s="1"/>
  <c r="U50" i="13" l="1"/>
  <c r="H54" i="7"/>
  <c r="V54" i="7" s="1"/>
  <c r="W54" i="7" s="1"/>
  <c r="X54" i="7" s="1"/>
  <c r="AE54" i="7" s="1"/>
  <c r="H55" i="7"/>
  <c r="V55" i="7" s="1"/>
  <c r="W55" i="7" s="1"/>
  <c r="X55" i="7" s="1"/>
  <c r="AE55" i="7" s="1"/>
  <c r="H53" i="7"/>
  <c r="V53" i="7" s="1"/>
  <c r="H49" i="7"/>
  <c r="V49" i="7" s="1"/>
  <c r="H50" i="7"/>
  <c r="V50" i="7" s="1"/>
  <c r="H51" i="7"/>
  <c r="V51" i="7" s="1"/>
  <c r="H52" i="7"/>
  <c r="V52" i="7" s="1"/>
  <c r="H48" i="7"/>
  <c r="V48" i="7" s="1"/>
  <c r="U49" i="13" l="1"/>
  <c r="AA55" i="7"/>
  <c r="AA54" i="7"/>
  <c r="Y55" i="7"/>
  <c r="Y54" i="7"/>
  <c r="W51" i="7"/>
  <c r="X51" i="7" s="1"/>
  <c r="AE51" i="7" s="1"/>
  <c r="W50" i="7"/>
  <c r="X50" i="7" s="1"/>
  <c r="AE50" i="7" s="1"/>
  <c r="W48" i="7"/>
  <c r="X48" i="7" s="1"/>
  <c r="AE48" i="7" s="1"/>
  <c r="W52" i="7"/>
  <c r="X52" i="7" s="1"/>
  <c r="AE52" i="7" s="1"/>
  <c r="W49" i="7"/>
  <c r="X49" i="7" s="1"/>
  <c r="AE49" i="7" s="1"/>
  <c r="W53" i="7"/>
  <c r="X53" i="7" s="1"/>
  <c r="AE53" i="7" s="1"/>
  <c r="U48" i="13" l="1"/>
  <c r="AG55" i="7"/>
  <c r="AH55" i="7" s="1"/>
  <c r="AI55" i="7" s="1"/>
  <c r="AG54" i="7"/>
  <c r="AH54" i="7" s="1"/>
  <c r="AA51" i="7"/>
  <c r="AA49" i="7"/>
  <c r="AA52" i="7"/>
  <c r="AA48" i="7"/>
  <c r="AA50" i="7"/>
  <c r="AA53" i="7"/>
  <c r="Y52" i="7"/>
  <c r="Y48" i="7"/>
  <c r="Y50" i="7"/>
  <c r="Y53" i="7"/>
  <c r="Y51" i="7"/>
  <c r="Y49" i="7"/>
  <c r="U47" i="13" l="1"/>
  <c r="AI54" i="7"/>
  <c r="AG51" i="7"/>
  <c r="AH51" i="7" s="1"/>
  <c r="AG53" i="7"/>
  <c r="AH53" i="7" s="1"/>
  <c r="AG52" i="7"/>
  <c r="AH52" i="7" s="1"/>
  <c r="AG49" i="7"/>
  <c r="AH49" i="7" s="1"/>
  <c r="AG50" i="7"/>
  <c r="AH50" i="7" s="1"/>
  <c r="AG48" i="7"/>
  <c r="AH48" i="7" s="1"/>
  <c r="K46" i="3"/>
  <c r="S29" i="5" s="1"/>
  <c r="O12" i="11" s="1"/>
  <c r="O13" i="11" s="1"/>
  <c r="U46" i="13" l="1"/>
  <c r="AI53" i="7"/>
  <c r="U45" i="13" l="1"/>
  <c r="AE38" i="5" s="1"/>
  <c r="AI52" i="7"/>
  <c r="AI51" i="7" l="1"/>
  <c r="AI50" i="7" l="1"/>
  <c r="AI49" i="7" l="1"/>
  <c r="AI48" i="7" l="1"/>
  <c r="T38" i="5" s="1"/>
  <c r="Q28" i="9" l="1"/>
  <c r="Y44" i="5" s="1"/>
  <c r="AA42" i="11" s="1"/>
  <c r="AA43" i="11" s="1"/>
  <c r="R28" i="9"/>
  <c r="S28" i="9"/>
  <c r="X44" i="5" s="1"/>
  <c r="Z42" i="11" s="1"/>
  <c r="Z43" i="11" s="1"/>
  <c r="AB42" i="11"/>
  <c r="AB43" i="11" s="1"/>
  <c r="D25" i="13"/>
  <c r="H25" i="13" s="1"/>
  <c r="E25" i="13"/>
  <c r="Q28" i="3"/>
  <c r="J42" i="11" s="1"/>
  <c r="J43" i="11" s="1"/>
  <c r="D26" i="7"/>
  <c r="I26" i="7" s="1"/>
  <c r="E26" i="7"/>
  <c r="I25" i="13" l="1"/>
  <c r="H26" i="7"/>
  <c r="Q29" i="9" l="1"/>
  <c r="Y45" i="5" s="1"/>
  <c r="AA44" i="11" s="1"/>
  <c r="AA45" i="11" s="1"/>
  <c r="R29" i="9"/>
  <c r="S29" i="9"/>
  <c r="X45" i="5" s="1"/>
  <c r="Z44" i="11" s="1"/>
  <c r="Z45" i="11" s="1"/>
  <c r="AB44" i="11"/>
  <c r="AB45" i="11" s="1"/>
  <c r="D26" i="13"/>
  <c r="E26" i="13"/>
  <c r="Q29" i="3"/>
  <c r="J44" i="11" s="1"/>
  <c r="J45" i="11" s="1"/>
  <c r="D27" i="7"/>
  <c r="I27" i="7" s="1"/>
  <c r="E27" i="7"/>
  <c r="H27" i="7" l="1"/>
  <c r="I26" i="13"/>
  <c r="H26" i="13"/>
  <c r="S13" i="9" l="1"/>
  <c r="X29" i="5" s="1"/>
  <c r="Z12" i="11" s="1"/>
  <c r="Z13" i="11" s="1"/>
  <c r="S18" i="9"/>
  <c r="X34" i="5" s="1"/>
  <c r="Z22" i="11" s="1"/>
  <c r="Z23" i="11" s="1"/>
  <c r="Q23" i="9" l="1"/>
  <c r="Y39" i="5" s="1"/>
  <c r="AA32" i="11" s="1"/>
  <c r="AA33" i="11" s="1"/>
  <c r="R23" i="9"/>
  <c r="S23" i="9"/>
  <c r="X39" i="5" s="1"/>
  <c r="Z32" i="11" s="1"/>
  <c r="Z33" i="11" s="1"/>
  <c r="AB32" i="11"/>
  <c r="AB33" i="11" s="1"/>
  <c r="Q24" i="9"/>
  <c r="Y40" i="5" s="1"/>
  <c r="AA34" i="11" s="1"/>
  <c r="AA35" i="11" s="1"/>
  <c r="R24" i="9"/>
  <c r="S24" i="9"/>
  <c r="X40" i="5" s="1"/>
  <c r="Z34" i="11" s="1"/>
  <c r="Z35" i="11" s="1"/>
  <c r="AB34" i="11"/>
  <c r="AB35" i="11" s="1"/>
  <c r="Q25" i="9"/>
  <c r="Y41" i="5" s="1"/>
  <c r="AA36" i="11" s="1"/>
  <c r="AA37" i="11" s="1"/>
  <c r="R25" i="9"/>
  <c r="S25" i="9"/>
  <c r="X41" i="5" s="1"/>
  <c r="Z36" i="11" s="1"/>
  <c r="Z37" i="11" s="1"/>
  <c r="AB36" i="11"/>
  <c r="AB37" i="11" s="1"/>
  <c r="Q26" i="9"/>
  <c r="Y42" i="5" s="1"/>
  <c r="AA38" i="11" s="1"/>
  <c r="AA39" i="11" s="1"/>
  <c r="R26" i="9"/>
  <c r="S26" i="9"/>
  <c r="X42" i="5" s="1"/>
  <c r="Z38" i="11" s="1"/>
  <c r="Z39" i="11" s="1"/>
  <c r="AB38" i="11"/>
  <c r="AB39" i="11" s="1"/>
  <c r="Q27" i="9"/>
  <c r="Y43" i="5" s="1"/>
  <c r="AA40" i="11" s="1"/>
  <c r="AA41" i="11" s="1"/>
  <c r="R27" i="9"/>
  <c r="S27" i="9"/>
  <c r="X43" i="5" s="1"/>
  <c r="Z40" i="11" s="1"/>
  <c r="Z41" i="11" s="1"/>
  <c r="AB40" i="11"/>
  <c r="AB41" i="11" s="1"/>
  <c r="D20" i="13"/>
  <c r="H20" i="13" s="1"/>
  <c r="E20" i="13"/>
  <c r="D21" i="13"/>
  <c r="I21" i="13" s="1"/>
  <c r="E21" i="13"/>
  <c r="D22" i="13"/>
  <c r="H22" i="13" s="1"/>
  <c r="E22" i="13"/>
  <c r="D23" i="13"/>
  <c r="H23" i="13" s="1"/>
  <c r="E23" i="13"/>
  <c r="D24" i="13"/>
  <c r="I24" i="13" s="1"/>
  <c r="E24" i="13"/>
  <c r="Q23" i="3"/>
  <c r="J32" i="11" s="1"/>
  <c r="J33" i="11" s="1"/>
  <c r="Q24" i="3"/>
  <c r="J34" i="11" s="1"/>
  <c r="J35" i="11" s="1"/>
  <c r="Q25" i="3"/>
  <c r="J36" i="11" s="1"/>
  <c r="J37" i="11" s="1"/>
  <c r="Q26" i="3"/>
  <c r="J38" i="11" s="1"/>
  <c r="J39" i="11" s="1"/>
  <c r="Q27" i="3"/>
  <c r="J40" i="11" s="1"/>
  <c r="J41" i="11" s="1"/>
  <c r="D21" i="7"/>
  <c r="H21" i="7" s="1"/>
  <c r="E21" i="7"/>
  <c r="D22" i="7"/>
  <c r="H22" i="7" s="1"/>
  <c r="E22" i="7"/>
  <c r="D23" i="7"/>
  <c r="H23" i="7" s="1"/>
  <c r="E23" i="7"/>
  <c r="D24" i="7"/>
  <c r="I24" i="7" s="1"/>
  <c r="E24" i="7"/>
  <c r="D25" i="7"/>
  <c r="H25" i="7" s="1"/>
  <c r="E25" i="7"/>
  <c r="H24" i="13" l="1"/>
  <c r="I25" i="7"/>
  <c r="I22" i="13"/>
  <c r="I21" i="7"/>
  <c r="I23" i="7"/>
  <c r="I20" i="13"/>
  <c r="I22" i="7"/>
  <c r="H24" i="7"/>
  <c r="H21" i="13"/>
  <c r="I23" i="13"/>
  <c r="N23" i="9" l="1"/>
  <c r="N24" i="9"/>
  <c r="N25" i="9"/>
  <c r="N26" i="9"/>
  <c r="N27" i="9"/>
  <c r="N28" i="9"/>
  <c r="N29" i="9"/>
  <c r="U26" i="13"/>
  <c r="U25" i="13" s="1"/>
  <c r="U24" i="13" s="1"/>
  <c r="U23" i="13" s="1"/>
  <c r="U22" i="13" s="1"/>
  <c r="U21" i="13" s="1"/>
  <c r="U20" i="13" s="1"/>
  <c r="L23" i="3"/>
  <c r="M23" i="3"/>
  <c r="N23" i="3"/>
  <c r="T23" i="3" s="1"/>
  <c r="B23" i="3"/>
  <c r="B23" i="9" s="1"/>
  <c r="AE23" i="3"/>
  <c r="L24" i="3"/>
  <c r="M24" i="3"/>
  <c r="N24" i="3"/>
  <c r="P24" i="3" s="1"/>
  <c r="B24" i="3"/>
  <c r="B24" i="9" s="1"/>
  <c r="AE24" i="3"/>
  <c r="L25" i="3"/>
  <c r="M25" i="3"/>
  <c r="N25" i="3"/>
  <c r="T25" i="3" s="1"/>
  <c r="B25" i="3"/>
  <c r="B25" i="9" s="1"/>
  <c r="AE25" i="3"/>
  <c r="L26" i="3"/>
  <c r="M26" i="3"/>
  <c r="N26" i="3"/>
  <c r="P26" i="3" s="1"/>
  <c r="B26" i="3"/>
  <c r="B26" i="9" s="1"/>
  <c r="AE26" i="3"/>
  <c r="L27" i="3"/>
  <c r="M27" i="3"/>
  <c r="N27" i="3"/>
  <c r="T27" i="3" s="1"/>
  <c r="B27" i="3"/>
  <c r="AE27" i="3"/>
  <c r="L28" i="3"/>
  <c r="N28" i="3"/>
  <c r="T28" i="3" s="1"/>
  <c r="B28" i="3"/>
  <c r="AE28" i="3"/>
  <c r="L29" i="3"/>
  <c r="N29" i="3"/>
  <c r="R29" i="3" s="1"/>
  <c r="N45" i="5" s="1"/>
  <c r="I44" i="11" s="1"/>
  <c r="I45" i="11" s="1"/>
  <c r="B29" i="3"/>
  <c r="AE29" i="3"/>
  <c r="AI27" i="7"/>
  <c r="AI26" i="7" s="1"/>
  <c r="AI25" i="7" s="1"/>
  <c r="AI24" i="7" s="1"/>
  <c r="AI23" i="7" s="1"/>
  <c r="AI22" i="7" s="1"/>
  <c r="AI21" i="7" s="1"/>
  <c r="F23" i="13" l="1"/>
  <c r="G23" i="13" s="1"/>
  <c r="J23" i="13" s="1"/>
  <c r="K23" i="13" s="1"/>
  <c r="M42" i="5"/>
  <c r="H38" i="11" s="1"/>
  <c r="H39" i="11" s="1"/>
  <c r="F21" i="13"/>
  <c r="G21" i="13" s="1"/>
  <c r="J21" i="13" s="1"/>
  <c r="K21" i="13" s="1"/>
  <c r="M40" i="5"/>
  <c r="H34" i="11" s="1"/>
  <c r="H35" i="11" s="1"/>
  <c r="R28" i="3"/>
  <c r="N44" i="5" s="1"/>
  <c r="I42" i="11" s="1"/>
  <c r="I43" i="11" s="1"/>
  <c r="F24" i="7"/>
  <c r="G24" i="7" s="1"/>
  <c r="J24" i="7" s="1"/>
  <c r="P28" i="3"/>
  <c r="T29" i="3"/>
  <c r="R27" i="3"/>
  <c r="N43" i="5" s="1"/>
  <c r="I40" i="11" s="1"/>
  <c r="I41" i="11" s="1"/>
  <c r="R26" i="3"/>
  <c r="N42" i="5" s="1"/>
  <c r="I38" i="11" s="1"/>
  <c r="I39" i="11" s="1"/>
  <c r="R25" i="3"/>
  <c r="N41" i="5" s="1"/>
  <c r="I36" i="11" s="1"/>
  <c r="I37" i="11" s="1"/>
  <c r="R24" i="3"/>
  <c r="N40" i="5" s="1"/>
  <c r="I34" i="11" s="1"/>
  <c r="I35" i="11" s="1"/>
  <c r="R23" i="3"/>
  <c r="N39" i="5" s="1"/>
  <c r="I32" i="11" s="1"/>
  <c r="I33" i="11" s="1"/>
  <c r="P29" i="3"/>
  <c r="B29" i="9"/>
  <c r="F29" i="3"/>
  <c r="B27" i="9"/>
  <c r="F27" i="3"/>
  <c r="B28" i="9"/>
  <c r="F28" i="3"/>
  <c r="F22" i="7"/>
  <c r="G22" i="7" s="1"/>
  <c r="P27" i="3"/>
  <c r="M43" i="5" s="1"/>
  <c r="H40" i="11" s="1"/>
  <c r="H41" i="11" s="1"/>
  <c r="F26" i="3"/>
  <c r="P25" i="3"/>
  <c r="M41" i="5" s="1"/>
  <c r="H36" i="11" s="1"/>
  <c r="H37" i="11" s="1"/>
  <c r="F24" i="3"/>
  <c r="P23" i="3"/>
  <c r="M39" i="5" s="1"/>
  <c r="H32" i="11" s="1"/>
  <c r="H33" i="11" s="1"/>
  <c r="T26" i="3"/>
  <c r="T24" i="3"/>
  <c r="F25" i="3"/>
  <c r="F23" i="3"/>
  <c r="M21" i="13" l="1"/>
  <c r="Q21" i="13"/>
  <c r="S21" i="13" s="1"/>
  <c r="T21" i="13" s="1"/>
  <c r="M23" i="13"/>
  <c r="Q23" i="13"/>
  <c r="S23" i="13" s="1"/>
  <c r="T23" i="13" s="1"/>
  <c r="L24" i="7"/>
  <c r="K24" i="7" s="1"/>
  <c r="V24" i="7" s="1"/>
  <c r="W24" i="7" s="1"/>
  <c r="X24" i="7" s="1"/>
  <c r="AE24" i="7" s="1"/>
  <c r="K43" i="5"/>
  <c r="F40" i="11" s="1"/>
  <c r="F41" i="11" s="1"/>
  <c r="V43" i="5"/>
  <c r="X40" i="11" s="1"/>
  <c r="X41" i="11" s="1"/>
  <c r="V40" i="5"/>
  <c r="X34" i="11" s="1"/>
  <c r="X35" i="11" s="1"/>
  <c r="K40" i="5"/>
  <c r="F34" i="11" s="1"/>
  <c r="F35" i="11" s="1"/>
  <c r="K39" i="5"/>
  <c r="F32" i="11" s="1"/>
  <c r="F33" i="11" s="1"/>
  <c r="V39" i="5"/>
  <c r="X32" i="11" s="1"/>
  <c r="X33" i="11" s="1"/>
  <c r="F29" i="9"/>
  <c r="U29" i="9" s="1"/>
  <c r="K45" i="5"/>
  <c r="F44" i="11" s="1"/>
  <c r="F45" i="11" s="1"/>
  <c r="V45" i="5"/>
  <c r="X44" i="11" s="1"/>
  <c r="X45" i="11" s="1"/>
  <c r="K42" i="5"/>
  <c r="F38" i="11" s="1"/>
  <c r="F39" i="11" s="1"/>
  <c r="V42" i="5"/>
  <c r="X38" i="11" s="1"/>
  <c r="X39" i="11" s="1"/>
  <c r="K41" i="5"/>
  <c r="F36" i="11" s="1"/>
  <c r="F37" i="11" s="1"/>
  <c r="V41" i="5"/>
  <c r="X36" i="11" s="1"/>
  <c r="X37" i="11" s="1"/>
  <c r="F28" i="9"/>
  <c r="U28" i="9" s="1"/>
  <c r="V44" i="5"/>
  <c r="X42" i="11" s="1"/>
  <c r="X43" i="11" s="1"/>
  <c r="K44" i="5"/>
  <c r="F42" i="11" s="1"/>
  <c r="F43" i="11" s="1"/>
  <c r="F25" i="13"/>
  <c r="G25" i="13" s="1"/>
  <c r="J25" i="13" s="1"/>
  <c r="K25" i="13" s="1"/>
  <c r="M44" i="5"/>
  <c r="H42" i="11" s="1"/>
  <c r="H43" i="11" s="1"/>
  <c r="F26" i="13"/>
  <c r="G26" i="13" s="1"/>
  <c r="J26" i="13" s="1"/>
  <c r="K26" i="13" s="1"/>
  <c r="M45" i="5"/>
  <c r="H44" i="11" s="1"/>
  <c r="H45" i="11" s="1"/>
  <c r="F26" i="7"/>
  <c r="G26" i="7" s="1"/>
  <c r="J26" i="7" s="1"/>
  <c r="F27" i="7"/>
  <c r="G27" i="7" s="1"/>
  <c r="L27" i="7" s="1"/>
  <c r="AH26" i="3"/>
  <c r="F26" i="9"/>
  <c r="U26" i="9" s="1"/>
  <c r="F25" i="9"/>
  <c r="U25" i="9" s="1"/>
  <c r="AH25" i="3"/>
  <c r="F24" i="13"/>
  <c r="G24" i="13" s="1"/>
  <c r="J24" i="13" s="1"/>
  <c r="K24" i="13" s="1"/>
  <c r="Q24" i="13" s="1"/>
  <c r="F25" i="7"/>
  <c r="G25" i="7" s="1"/>
  <c r="F23" i="7"/>
  <c r="G23" i="7" s="1"/>
  <c r="F22" i="13"/>
  <c r="G22" i="13" s="1"/>
  <c r="J22" i="13" s="1"/>
  <c r="K22" i="13" s="1"/>
  <c r="Q22" i="13" s="1"/>
  <c r="J22" i="7"/>
  <c r="L22" i="7"/>
  <c r="F23" i="9"/>
  <c r="U23" i="9" s="1"/>
  <c r="AH23" i="3"/>
  <c r="AH24" i="3"/>
  <c r="F24" i="9"/>
  <c r="U24" i="9" s="1"/>
  <c r="F27" i="9"/>
  <c r="U27" i="9" s="1"/>
  <c r="AH27" i="3"/>
  <c r="F20" i="13"/>
  <c r="G20" i="13" s="1"/>
  <c r="J20" i="13" s="1"/>
  <c r="K20" i="13" s="1"/>
  <c r="Q20" i="13" s="1"/>
  <c r="F21" i="7"/>
  <c r="G21" i="7" s="1"/>
  <c r="M26" i="13" l="1"/>
  <c r="Q26" i="13"/>
  <c r="S26" i="13" s="1"/>
  <c r="T26" i="13" s="1"/>
  <c r="M25" i="13"/>
  <c r="Q25" i="13"/>
  <c r="S25" i="13" s="1"/>
  <c r="T25" i="13" s="1"/>
  <c r="J27" i="7"/>
  <c r="K27" i="7" s="1"/>
  <c r="V27" i="7" s="1"/>
  <c r="W27" i="7" s="1"/>
  <c r="X27" i="7" s="1"/>
  <c r="L26" i="7"/>
  <c r="K26" i="7" s="1"/>
  <c r="V26" i="7" s="1"/>
  <c r="W26" i="7" s="1"/>
  <c r="X26" i="7" s="1"/>
  <c r="AE26" i="7" s="1"/>
  <c r="L21" i="7"/>
  <c r="J21" i="7"/>
  <c r="L25" i="7"/>
  <c r="J25" i="7"/>
  <c r="M24" i="13"/>
  <c r="S24" i="13"/>
  <c r="T24" i="13" s="1"/>
  <c r="S20" i="13"/>
  <c r="T20" i="13" s="1"/>
  <c r="M20" i="13"/>
  <c r="K22" i="7"/>
  <c r="V22" i="7" s="1"/>
  <c r="W22" i="7" s="1"/>
  <c r="X22" i="7" s="1"/>
  <c r="AE22" i="7" s="1"/>
  <c r="M22" i="13"/>
  <c r="S22" i="13"/>
  <c r="T22" i="13" s="1"/>
  <c r="AA24" i="7"/>
  <c r="AG24" i="7"/>
  <c r="AH24" i="7" s="1"/>
  <c r="Y24" i="7"/>
  <c r="L23" i="7"/>
  <c r="J23" i="7"/>
  <c r="Y27" i="7" l="1"/>
  <c r="AE27" i="7"/>
  <c r="AG27" i="7" s="1"/>
  <c r="AH27" i="7" s="1"/>
  <c r="K25" i="7"/>
  <c r="V25" i="7" s="1"/>
  <c r="W25" i="7" s="1"/>
  <c r="X25" i="7" s="1"/>
  <c r="AA27" i="7"/>
  <c r="K21" i="7"/>
  <c r="V21" i="7" s="1"/>
  <c r="W21" i="7" s="1"/>
  <c r="X21" i="7" s="1"/>
  <c r="K23" i="7"/>
  <c r="V23" i="7" s="1"/>
  <c r="W23" i="7" s="1"/>
  <c r="X23" i="7" s="1"/>
  <c r="Y26" i="7"/>
  <c r="AA26" i="7"/>
  <c r="AG26" i="7"/>
  <c r="AH26" i="7" s="1"/>
  <c r="AG22" i="7"/>
  <c r="AH22" i="7" s="1"/>
  <c r="Y22" i="7"/>
  <c r="AA22" i="7"/>
  <c r="AA25" i="7" l="1"/>
  <c r="AE25" i="7"/>
  <c r="AG25" i="7" s="1"/>
  <c r="AH25" i="7" s="1"/>
  <c r="AA21" i="7"/>
  <c r="AE21" i="7"/>
  <c r="AG21" i="7" s="1"/>
  <c r="AH21" i="7" s="1"/>
  <c r="Y23" i="7"/>
  <c r="AE23" i="7"/>
  <c r="AG23" i="7" s="1"/>
  <c r="AH23" i="7" s="1"/>
  <c r="Y25" i="7"/>
  <c r="Y21" i="7"/>
  <c r="AA23" i="7"/>
  <c r="L22" i="9" l="1"/>
  <c r="M22" i="9"/>
  <c r="N22" i="9"/>
  <c r="Q22" i="9"/>
  <c r="Y38" i="5" s="1"/>
  <c r="AA30" i="11" s="1"/>
  <c r="AA31" i="11" s="1"/>
  <c r="R22" i="9"/>
  <c r="S22" i="9"/>
  <c r="X38" i="5" s="1"/>
  <c r="Z30" i="11" s="1"/>
  <c r="Z31" i="11" s="1"/>
  <c r="T22" i="9"/>
  <c r="AB30" i="11" s="1"/>
  <c r="AB31" i="11" s="1"/>
  <c r="D19" i="13"/>
  <c r="H19" i="13" s="1"/>
  <c r="E19" i="13"/>
  <c r="U19" i="13"/>
  <c r="O38" i="5"/>
  <c r="Z38" i="5"/>
  <c r="L22" i="3"/>
  <c r="M22" i="3"/>
  <c r="N22" i="3"/>
  <c r="P22" i="3" s="1"/>
  <c r="Q22" i="3"/>
  <c r="J30" i="11" s="1"/>
  <c r="J31" i="11" s="1"/>
  <c r="B22" i="3"/>
  <c r="AE22" i="3"/>
  <c r="D20" i="7"/>
  <c r="I20" i="7" s="1"/>
  <c r="E20" i="7"/>
  <c r="AI20" i="7"/>
  <c r="H20" i="7" l="1"/>
  <c r="M38" i="5"/>
  <c r="H30" i="11" s="1"/>
  <c r="H31" i="11" s="1"/>
  <c r="F19" i="13"/>
  <c r="G19" i="13" s="1"/>
  <c r="J19" i="13" s="1"/>
  <c r="K19" i="13" s="1"/>
  <c r="F20" i="7"/>
  <c r="G20" i="7" s="1"/>
  <c r="B22" i="9"/>
  <c r="F22" i="3"/>
  <c r="T22" i="3"/>
  <c r="R22" i="3"/>
  <c r="N38" i="5" s="1"/>
  <c r="I30" i="11" s="1"/>
  <c r="I31" i="11" s="1"/>
  <c r="I19" i="13"/>
  <c r="L20" i="7" l="1"/>
  <c r="J20" i="7"/>
  <c r="K38" i="5"/>
  <c r="F30" i="11" s="1"/>
  <c r="F31" i="11" s="1"/>
  <c r="F22" i="9"/>
  <c r="U22" i="9" s="1"/>
  <c r="V38" i="5"/>
  <c r="X30" i="11" s="1"/>
  <c r="X31" i="11" s="1"/>
  <c r="AH22" i="3"/>
  <c r="M19" i="13"/>
  <c r="Q19" i="13"/>
  <c r="S19" i="13" s="1"/>
  <c r="T19" i="13" s="1"/>
  <c r="K20" i="7" l="1"/>
  <c r="V20" i="7" s="1"/>
  <c r="W20" i="7" s="1"/>
  <c r="X20" i="7" s="1"/>
  <c r="Y20" i="7" s="1"/>
  <c r="L46" i="3"/>
  <c r="AB21" i="3"/>
  <c r="AB13" i="3"/>
  <c r="AB18" i="3"/>
  <c r="AB12" i="3"/>
  <c r="AB16" i="3"/>
  <c r="AB14" i="3"/>
  <c r="AB19" i="3"/>
  <c r="AB15" i="3"/>
  <c r="AB10" i="3"/>
  <c r="AB11" i="3"/>
  <c r="AB17" i="3"/>
  <c r="AB20" i="3"/>
  <c r="AD49" i="3"/>
  <c r="AE49" i="3" s="1"/>
  <c r="AD53" i="3"/>
  <c r="AE53" i="3" s="1"/>
  <c r="AD43" i="3"/>
  <c r="AE43" i="3" s="1"/>
  <c r="AD44" i="3"/>
  <c r="AE44" i="3" s="1"/>
  <c r="AD54" i="3"/>
  <c r="AE54" i="3" s="1"/>
  <c r="AD52" i="3"/>
  <c r="AE52" i="3" s="1"/>
  <c r="AD45" i="3"/>
  <c r="AE45" i="3" s="1"/>
  <c r="AD46" i="3"/>
  <c r="AE46" i="3" s="1"/>
  <c r="AD51" i="3"/>
  <c r="AE51" i="3" s="1"/>
  <c r="AD48" i="3"/>
  <c r="AE48" i="3" s="1"/>
  <c r="AD50" i="3"/>
  <c r="AE50" i="3" s="1"/>
  <c r="AD47" i="3"/>
  <c r="AE47" i="3" s="1"/>
  <c r="AE20" i="7" l="1"/>
  <c r="AG20" i="7" s="1"/>
  <c r="AH20" i="7" s="1"/>
  <c r="AA20" i="7"/>
  <c r="B43" i="3" l="1"/>
  <c r="L43" i="3" s="1"/>
  <c r="B43" i="9" l="1"/>
  <c r="M43" i="9" s="1"/>
  <c r="D43" i="3"/>
  <c r="F43" i="9" l="1"/>
  <c r="O43" i="9" s="1"/>
  <c r="AH6" i="11" s="1"/>
  <c r="AH7" i="11" s="1"/>
  <c r="P26" i="5"/>
  <c r="L6" i="11" s="1"/>
  <c r="L7" i="11" s="1"/>
  <c r="AA26" i="5"/>
  <c r="AD6" i="11" s="1"/>
  <c r="AD7" i="11" s="1"/>
  <c r="N43" i="3"/>
  <c r="P6" i="11" s="1"/>
  <c r="P7" i="11" s="1"/>
  <c r="K43" i="3"/>
  <c r="S26" i="5" s="1"/>
  <c r="O6" i="11" s="1"/>
  <c r="O7" i="11" s="1"/>
  <c r="D33" i="13"/>
  <c r="F33" i="13" s="1"/>
  <c r="G33" i="13" s="1"/>
  <c r="D36" i="7"/>
  <c r="L43" i="9" l="1"/>
  <c r="AD26" i="5" s="1"/>
  <c r="AG6" i="11" s="1"/>
  <c r="AG7" i="11" s="1"/>
  <c r="Q33" i="13"/>
  <c r="S33" i="13" s="1"/>
  <c r="T33" i="13" s="1"/>
  <c r="M33" i="13"/>
  <c r="F36" i="7"/>
  <c r="G36" i="7"/>
  <c r="H36" i="7" l="1"/>
  <c r="V36" i="7" s="1"/>
  <c r="W36" i="7" s="1"/>
  <c r="X36" i="7" s="1"/>
  <c r="AE36" i="7" l="1"/>
  <c r="AG36" i="7" s="1"/>
  <c r="AH36" i="7" s="1"/>
  <c r="AA36" i="7"/>
  <c r="Y36" i="7"/>
  <c r="B44" i="3"/>
  <c r="B45" i="3"/>
  <c r="L45" i="3" s="1"/>
  <c r="B46" i="3"/>
  <c r="B46" i="9" s="1"/>
  <c r="B47" i="3"/>
  <c r="B48" i="3"/>
  <c r="B49" i="3"/>
  <c r="B50" i="3"/>
  <c r="D50" i="3" s="1"/>
  <c r="B51" i="3"/>
  <c r="B52" i="3"/>
  <c r="B53" i="3"/>
  <c r="B53" i="9" s="1"/>
  <c r="B54" i="3"/>
  <c r="D46" i="3" l="1"/>
  <c r="D39" i="7" s="1"/>
  <c r="G39" i="7" s="1"/>
  <c r="L53" i="3"/>
  <c r="D53" i="3"/>
  <c r="AA36" i="5" s="1"/>
  <c r="AD26" i="11" s="1"/>
  <c r="AD27" i="11" s="1"/>
  <c r="D51" i="3"/>
  <c r="B51" i="9"/>
  <c r="B48" i="9"/>
  <c r="D48" i="3"/>
  <c r="L48" i="3"/>
  <c r="D40" i="13"/>
  <c r="F40" i="13" s="1"/>
  <c r="G40" i="13" s="1"/>
  <c r="P33" i="5"/>
  <c r="L20" i="11" s="1"/>
  <c r="L21" i="11" s="1"/>
  <c r="AA33" i="5"/>
  <c r="AD20" i="11" s="1"/>
  <c r="AD21" i="11" s="1"/>
  <c r="K50" i="3"/>
  <c r="S33" i="5" s="1"/>
  <c r="O20" i="11" s="1"/>
  <c r="O21" i="11" s="1"/>
  <c r="N50" i="3"/>
  <c r="P20" i="11" s="1"/>
  <c r="P21" i="11" s="1"/>
  <c r="D43" i="7"/>
  <c r="B47" i="9"/>
  <c r="D47" i="3"/>
  <c r="L47" i="3"/>
  <c r="B54" i="9"/>
  <c r="D54" i="3"/>
  <c r="L54" i="3"/>
  <c r="B49" i="9"/>
  <c r="D49" i="3"/>
  <c r="L49" i="3"/>
  <c r="B44" i="9"/>
  <c r="L44" i="3"/>
  <c r="D44" i="3"/>
  <c r="B52" i="9"/>
  <c r="D52" i="3"/>
  <c r="L52" i="3"/>
  <c r="M46" i="9"/>
  <c r="F46" i="9"/>
  <c r="O46" i="9" s="1"/>
  <c r="B50" i="9"/>
  <c r="L50" i="3"/>
  <c r="B45" i="9"/>
  <c r="D45" i="3"/>
  <c r="F53" i="9"/>
  <c r="O53" i="9" s="1"/>
  <c r="M53" i="9"/>
  <c r="D43" i="13" l="1"/>
  <c r="F43" i="13" s="1"/>
  <c r="G43" i="13" s="1"/>
  <c r="M43" i="13" s="1"/>
  <c r="AA29" i="5"/>
  <c r="AD12" i="11" s="1"/>
  <c r="AD13" i="11" s="1"/>
  <c r="D36" i="13"/>
  <c r="F36" i="13" s="1"/>
  <c r="G36" i="13" s="1"/>
  <c r="Q36" i="13" s="1"/>
  <c r="S36" i="13" s="1"/>
  <c r="T36" i="13" s="1"/>
  <c r="P29" i="5"/>
  <c r="L12" i="11" s="1"/>
  <c r="L13" i="11" s="1"/>
  <c r="N46" i="3"/>
  <c r="P12" i="11" s="1"/>
  <c r="P13" i="11" s="1"/>
  <c r="F39" i="7"/>
  <c r="H39" i="7" s="1"/>
  <c r="V39" i="7" s="1"/>
  <c r="W39" i="7" s="1"/>
  <c r="X39" i="7" s="1"/>
  <c r="Y39" i="7" s="1"/>
  <c r="K53" i="3"/>
  <c r="S36" i="5" s="1"/>
  <c r="O26" i="11" s="1"/>
  <c r="O27" i="11" s="1"/>
  <c r="D46" i="7"/>
  <c r="P36" i="5"/>
  <c r="L26" i="11" s="1"/>
  <c r="L27" i="11" s="1"/>
  <c r="N53" i="3"/>
  <c r="P26" i="11" s="1"/>
  <c r="P27" i="11" s="1"/>
  <c r="F51" i="9"/>
  <c r="O51" i="9" s="1"/>
  <c r="M51" i="9"/>
  <c r="AH12" i="11"/>
  <c r="AH13" i="11" s="1"/>
  <c r="L46" i="9"/>
  <c r="AD29" i="5" s="1"/>
  <c r="AG12" i="11" s="1"/>
  <c r="AG13" i="11" s="1"/>
  <c r="D44" i="13"/>
  <c r="F44" i="13" s="1"/>
  <c r="G44" i="13" s="1"/>
  <c r="AA37" i="5"/>
  <c r="AD28" i="11" s="1"/>
  <c r="AD29" i="11" s="1"/>
  <c r="P37" i="5"/>
  <c r="L28" i="11" s="1"/>
  <c r="L29" i="11" s="1"/>
  <c r="K54" i="3"/>
  <c r="S37" i="5" s="1"/>
  <c r="O28" i="11" s="1"/>
  <c r="O29" i="11" s="1"/>
  <c r="N54" i="3"/>
  <c r="P28" i="11" s="1"/>
  <c r="P29" i="11" s="1"/>
  <c r="D47" i="7"/>
  <c r="D41" i="13"/>
  <c r="F41" i="13" s="1"/>
  <c r="G41" i="13" s="1"/>
  <c r="P34" i="5"/>
  <c r="L22" i="11" s="1"/>
  <c r="L23" i="11" s="1"/>
  <c r="AA34" i="5"/>
  <c r="AD22" i="11" s="1"/>
  <c r="AD23" i="11" s="1"/>
  <c r="N51" i="3"/>
  <c r="P22" i="11" s="1"/>
  <c r="P23" i="11" s="1"/>
  <c r="D44" i="7"/>
  <c r="AA28" i="5"/>
  <c r="AD10" i="11" s="1"/>
  <c r="AD11" i="11" s="1"/>
  <c r="P28" i="5"/>
  <c r="L10" i="11" s="1"/>
  <c r="L11" i="11" s="1"/>
  <c r="D35" i="13"/>
  <c r="F35" i="13" s="1"/>
  <c r="G35" i="13" s="1"/>
  <c r="N45" i="3"/>
  <c r="P10" i="11" s="1"/>
  <c r="P11" i="11" s="1"/>
  <c r="D38" i="7"/>
  <c r="K45" i="3"/>
  <c r="S28" i="5" s="1"/>
  <c r="O10" i="11" s="1"/>
  <c r="O11" i="11" s="1"/>
  <c r="M40" i="13"/>
  <c r="Q40" i="13"/>
  <c r="S40" i="13" s="1"/>
  <c r="T40" i="13" s="1"/>
  <c r="D42" i="13"/>
  <c r="F42" i="13" s="1"/>
  <c r="G42" i="13" s="1"/>
  <c r="P35" i="5"/>
  <c r="L24" i="11" s="1"/>
  <c r="L25" i="11" s="1"/>
  <c r="N52" i="3"/>
  <c r="P24" i="11" s="1"/>
  <c r="P25" i="11" s="1"/>
  <c r="AA35" i="5"/>
  <c r="AD24" i="11" s="1"/>
  <c r="AD25" i="11" s="1"/>
  <c r="K52" i="3"/>
  <c r="S35" i="5" s="1"/>
  <c r="O24" i="11" s="1"/>
  <c r="O25" i="11" s="1"/>
  <c r="D45" i="7"/>
  <c r="F44" i="9"/>
  <c r="O44" i="9" s="1"/>
  <c r="M44" i="9"/>
  <c r="F50" i="9"/>
  <c r="O50" i="9" s="1"/>
  <c r="M50" i="9"/>
  <c r="F47" i="9"/>
  <c r="O47" i="9" s="1"/>
  <c r="M47" i="9"/>
  <c r="AA31" i="5"/>
  <c r="AD16" i="11" s="1"/>
  <c r="AD17" i="11" s="1"/>
  <c r="P31" i="5"/>
  <c r="L16" i="11" s="1"/>
  <c r="L17" i="11" s="1"/>
  <c r="D38" i="13"/>
  <c r="F38" i="13" s="1"/>
  <c r="G38" i="13" s="1"/>
  <c r="K48" i="3"/>
  <c r="S31" i="5" s="1"/>
  <c r="O16" i="11" s="1"/>
  <c r="O17" i="11" s="1"/>
  <c r="D41" i="7"/>
  <c r="N48" i="3"/>
  <c r="P16" i="11" s="1"/>
  <c r="P17" i="11" s="1"/>
  <c r="F49" i="9"/>
  <c r="O49" i="9" s="1"/>
  <c r="M49" i="9"/>
  <c r="AH26" i="11"/>
  <c r="AH27" i="11" s="1"/>
  <c r="L53" i="9"/>
  <c r="AD36" i="5" s="1"/>
  <c r="AG26" i="11" s="1"/>
  <c r="AG27" i="11" s="1"/>
  <c r="D34" i="13"/>
  <c r="F34" i="13" s="1"/>
  <c r="G34" i="13" s="1"/>
  <c r="N44" i="3"/>
  <c r="P8" i="11" s="1"/>
  <c r="P9" i="11" s="1"/>
  <c r="P27" i="5"/>
  <c r="L8" i="11" s="1"/>
  <c r="L9" i="11" s="1"/>
  <c r="AA27" i="5"/>
  <c r="AD8" i="11" s="1"/>
  <c r="AD9" i="11" s="1"/>
  <c r="D37" i="7"/>
  <c r="K44" i="3"/>
  <c r="S27" i="5" s="1"/>
  <c r="O8" i="11" s="1"/>
  <c r="O9" i="11" s="1"/>
  <c r="F54" i="9"/>
  <c r="O54" i="9" s="1"/>
  <c r="M54" i="9"/>
  <c r="M45" i="9"/>
  <c r="F45" i="9"/>
  <c r="O45" i="9" s="1"/>
  <c r="D37" i="13"/>
  <c r="F37" i="13" s="1"/>
  <c r="G37" i="13" s="1"/>
  <c r="P30" i="5"/>
  <c r="L14" i="11" s="1"/>
  <c r="L15" i="11" s="1"/>
  <c r="K47" i="3"/>
  <c r="S30" i="5" s="1"/>
  <c r="O14" i="11" s="1"/>
  <c r="O15" i="11" s="1"/>
  <c r="AA30" i="5"/>
  <c r="AD14" i="11" s="1"/>
  <c r="AD15" i="11" s="1"/>
  <c r="N47" i="3"/>
  <c r="P14" i="11" s="1"/>
  <c r="P15" i="11" s="1"/>
  <c r="D40" i="7"/>
  <c r="F52" i="9"/>
  <c r="O52" i="9" s="1"/>
  <c r="M52" i="9"/>
  <c r="P32" i="5"/>
  <c r="L18" i="11" s="1"/>
  <c r="L19" i="11" s="1"/>
  <c r="D39" i="13"/>
  <c r="F39" i="13" s="1"/>
  <c r="G39" i="13" s="1"/>
  <c r="K49" i="3"/>
  <c r="S32" i="5" s="1"/>
  <c r="O18" i="11" s="1"/>
  <c r="O19" i="11" s="1"/>
  <c r="AA32" i="5"/>
  <c r="AD18" i="11" s="1"/>
  <c r="AD19" i="11" s="1"/>
  <c r="N49" i="3"/>
  <c r="P18" i="11" s="1"/>
  <c r="P19" i="11" s="1"/>
  <c r="D42" i="7"/>
  <c r="G43" i="7"/>
  <c r="F43" i="7"/>
  <c r="M48" i="9"/>
  <c r="F48" i="9"/>
  <c r="O48" i="9" s="1"/>
  <c r="Q43" i="13" l="1"/>
  <c r="S43" i="13" s="1"/>
  <c r="T43" i="13" s="1"/>
  <c r="M36" i="13"/>
  <c r="AE39" i="7"/>
  <c r="AG39" i="7" s="1"/>
  <c r="AH39" i="7" s="1"/>
  <c r="AA39" i="7"/>
  <c r="H43" i="7"/>
  <c r="V43" i="7" s="1"/>
  <c r="W43" i="7" s="1"/>
  <c r="X43" i="7" s="1"/>
  <c r="AE43" i="7" s="1"/>
  <c r="AG43" i="7" s="1"/>
  <c r="AH43" i="7" s="1"/>
  <c r="F46" i="7"/>
  <c r="G46" i="7"/>
  <c r="M38" i="13"/>
  <c r="Q38" i="13"/>
  <c r="S38" i="13" s="1"/>
  <c r="T38" i="13" s="1"/>
  <c r="F45" i="7"/>
  <c r="G45" i="7"/>
  <c r="F37" i="7"/>
  <c r="G37" i="7"/>
  <c r="F38" i="7"/>
  <c r="G38" i="7"/>
  <c r="AH8" i="11"/>
  <c r="AH9" i="11" s="1"/>
  <c r="L44" i="9"/>
  <c r="AD27" i="5" s="1"/>
  <c r="AG8" i="11" s="1"/>
  <c r="AG9" i="11" s="1"/>
  <c r="M39" i="13"/>
  <c r="Q39" i="13"/>
  <c r="S39" i="13" s="1"/>
  <c r="T39" i="13" s="1"/>
  <c r="AH10" i="11"/>
  <c r="AH11" i="11" s="1"/>
  <c r="L45" i="9"/>
  <c r="AD28" i="5" s="1"/>
  <c r="AG10" i="11" s="1"/>
  <c r="AG11" i="11" s="1"/>
  <c r="M41" i="13"/>
  <c r="Q41" i="13"/>
  <c r="S41" i="13" s="1"/>
  <c r="T41" i="13" s="1"/>
  <c r="M37" i="13"/>
  <c r="Q37" i="13"/>
  <c r="S37" i="13" s="1"/>
  <c r="T37" i="13" s="1"/>
  <c r="L47" i="9"/>
  <c r="AD30" i="5" s="1"/>
  <c r="AG14" i="11" s="1"/>
  <c r="AG15" i="11" s="1"/>
  <c r="AH14" i="11"/>
  <c r="AH15" i="11" s="1"/>
  <c r="M35" i="13"/>
  <c r="Q35" i="13"/>
  <c r="S35" i="13" s="1"/>
  <c r="T35" i="13" s="1"/>
  <c r="L52" i="9"/>
  <c r="AD35" i="5" s="1"/>
  <c r="AG24" i="11" s="1"/>
  <c r="AG25" i="11" s="1"/>
  <c r="AH24" i="11"/>
  <c r="AH25" i="11" s="1"/>
  <c r="M34" i="13"/>
  <c r="Q34" i="13"/>
  <c r="S34" i="13" s="1"/>
  <c r="T34" i="13" s="1"/>
  <c r="F41" i="7"/>
  <c r="G41" i="7"/>
  <c r="AH20" i="11"/>
  <c r="AH21" i="11" s="1"/>
  <c r="L50" i="9"/>
  <c r="AD33" i="5" s="1"/>
  <c r="AG20" i="11" s="1"/>
  <c r="AG21" i="11" s="1"/>
  <c r="M42" i="13"/>
  <c r="Q42" i="13"/>
  <c r="S42" i="13" s="1"/>
  <c r="T42" i="13" s="1"/>
  <c r="G47" i="7"/>
  <c r="F47" i="7"/>
  <c r="AH28" i="11"/>
  <c r="AH29" i="11" s="1"/>
  <c r="L54" i="9"/>
  <c r="AD37" i="5" s="1"/>
  <c r="AG28" i="11" s="1"/>
  <c r="AG29" i="11" s="1"/>
  <c r="AH16" i="11"/>
  <c r="AH17" i="11" s="1"/>
  <c r="L48" i="9"/>
  <c r="AD31" i="5" s="1"/>
  <c r="AG16" i="11" s="1"/>
  <c r="AG17" i="11" s="1"/>
  <c r="M44" i="13"/>
  <c r="Q44" i="13"/>
  <c r="S44" i="13" s="1"/>
  <c r="T44" i="13" s="1"/>
  <c r="U44" i="13" s="1"/>
  <c r="L49" i="9"/>
  <c r="AD32" i="5" s="1"/>
  <c r="AG18" i="11" s="1"/>
  <c r="AG19" i="11" s="1"/>
  <c r="AH18" i="11"/>
  <c r="AH19" i="11" s="1"/>
  <c r="F42" i="7"/>
  <c r="G42" i="7"/>
  <c r="G40" i="7"/>
  <c r="F40" i="7"/>
  <c r="F44" i="7"/>
  <c r="G44" i="7"/>
  <c r="L51" i="9"/>
  <c r="AD34" i="5" s="1"/>
  <c r="AG22" i="11" s="1"/>
  <c r="AG23" i="11" s="1"/>
  <c r="AH22" i="11"/>
  <c r="AH23" i="11" s="1"/>
  <c r="AA43" i="7" l="1"/>
  <c r="Y43" i="7"/>
  <c r="H47" i="7"/>
  <c r="V47" i="7" s="1"/>
  <c r="W47" i="7" s="1"/>
  <c r="X47" i="7" s="1"/>
  <c r="Y47" i="7" s="1"/>
  <c r="U33" i="13"/>
  <c r="AE26" i="5" s="1"/>
  <c r="H37" i="7"/>
  <c r="V37" i="7" s="1"/>
  <c r="W37" i="7" s="1"/>
  <c r="X37" i="7" s="1"/>
  <c r="AE37" i="7" s="1"/>
  <c r="AG37" i="7" s="1"/>
  <c r="AH37" i="7" s="1"/>
  <c r="H46" i="7"/>
  <c r="V46" i="7" s="1"/>
  <c r="W46" i="7" s="1"/>
  <c r="X46" i="7" s="1"/>
  <c r="H38" i="7"/>
  <c r="V38" i="7" s="1"/>
  <c r="W38" i="7" s="1"/>
  <c r="X38" i="7" s="1"/>
  <c r="H42" i="7"/>
  <c r="V42" i="7" s="1"/>
  <c r="W42" i="7" s="1"/>
  <c r="X42" i="7" s="1"/>
  <c r="H41" i="7"/>
  <c r="V41" i="7" s="1"/>
  <c r="W41" i="7" s="1"/>
  <c r="X41" i="7" s="1"/>
  <c r="U43" i="13"/>
  <c r="AE37" i="5"/>
  <c r="H45" i="7"/>
  <c r="V45" i="7" s="1"/>
  <c r="W45" i="7" s="1"/>
  <c r="X45" i="7" s="1"/>
  <c r="O33" i="13"/>
  <c r="P33" i="13" s="1"/>
  <c r="H44" i="7"/>
  <c r="V44" i="7" s="1"/>
  <c r="W44" i="7" s="1"/>
  <c r="X44" i="7" s="1"/>
  <c r="H40" i="7"/>
  <c r="V40" i="7" s="1"/>
  <c r="W40" i="7" s="1"/>
  <c r="X40" i="7" s="1"/>
  <c r="AE47" i="7" l="1"/>
  <c r="AG47" i="7" s="1"/>
  <c r="AH47" i="7" s="1"/>
  <c r="AI47" i="7" s="1"/>
  <c r="T37" i="5" s="1"/>
  <c r="AA47" i="7"/>
  <c r="AA37" i="7"/>
  <c r="Y37" i="7"/>
  <c r="AE46" i="7"/>
  <c r="AG46" i="7" s="1"/>
  <c r="AH46" i="7" s="1"/>
  <c r="AA46" i="7"/>
  <c r="Y46" i="7"/>
  <c r="AE44" i="7"/>
  <c r="AG44" i="7" s="1"/>
  <c r="AH44" i="7" s="1"/>
  <c r="Y44" i="7"/>
  <c r="AA44" i="7"/>
  <c r="AE45" i="7"/>
  <c r="AG45" i="7" s="1"/>
  <c r="AH45" i="7" s="1"/>
  <c r="AA45" i="7"/>
  <c r="Y45" i="7"/>
  <c r="Y40" i="7"/>
  <c r="AE40" i="7"/>
  <c r="AG40" i="7" s="1"/>
  <c r="AH40" i="7" s="1"/>
  <c r="AA40" i="7"/>
  <c r="U42" i="13"/>
  <c r="AE36" i="5"/>
  <c r="AA41" i="7"/>
  <c r="AE41" i="7"/>
  <c r="AG41" i="7" s="1"/>
  <c r="AH41" i="7" s="1"/>
  <c r="Y41" i="7"/>
  <c r="AA42" i="7"/>
  <c r="AE42" i="7"/>
  <c r="AG42" i="7" s="1"/>
  <c r="AH42" i="7" s="1"/>
  <c r="Y42" i="7"/>
  <c r="Y38" i="7"/>
  <c r="AA38" i="7"/>
  <c r="AE38" i="7"/>
  <c r="AG38" i="7" s="1"/>
  <c r="AH38" i="7" s="1"/>
  <c r="AI46" i="7" l="1"/>
  <c r="AI45" i="7" s="1"/>
  <c r="AC36" i="7"/>
  <c r="AD36" i="7" s="1"/>
  <c r="AI36" i="7"/>
  <c r="T26" i="5" s="1"/>
  <c r="U41" i="13"/>
  <c r="AE35" i="5"/>
  <c r="T36" i="5" l="1"/>
  <c r="AE34" i="5"/>
  <c r="U40" i="13"/>
  <c r="AI44" i="7"/>
  <c r="T35" i="5"/>
  <c r="T34" i="5" l="1"/>
  <c r="AI43" i="7"/>
  <c r="U39" i="13"/>
  <c r="AE33" i="5"/>
  <c r="AE32" i="5" l="1"/>
  <c r="U38" i="13"/>
  <c r="T33" i="5"/>
  <c r="AI42" i="7"/>
  <c r="T32" i="5" l="1"/>
  <c r="AI41" i="7"/>
  <c r="U37" i="13"/>
  <c r="AE31" i="5"/>
  <c r="U36" i="13" l="1"/>
  <c r="AE30" i="5"/>
  <c r="T31" i="5"/>
  <c r="AI40" i="7"/>
  <c r="T30" i="5" l="1"/>
  <c r="AI39" i="7"/>
  <c r="U35" i="13"/>
  <c r="AE29" i="5"/>
  <c r="U34" i="13" l="1"/>
  <c r="AE27" i="5" s="1"/>
  <c r="AE28" i="5"/>
  <c r="T29" i="5"/>
  <c r="AI38" i="7"/>
  <c r="AI37" i="7" l="1"/>
  <c r="T27" i="5" s="1"/>
  <c r="T28" i="5"/>
  <c r="AG43" i="3" l="1"/>
  <c r="AG44" i="3"/>
  <c r="AG45" i="3"/>
  <c r="AG46" i="3"/>
  <c r="AG47" i="3"/>
  <c r="AG48" i="3"/>
  <c r="AG49" i="3"/>
  <c r="AG50" i="3"/>
  <c r="AG51" i="3"/>
  <c r="AG52" i="3"/>
  <c r="AG53" i="3"/>
  <c r="AG54" i="3"/>
  <c r="F6" i="11"/>
  <c r="H6" i="11"/>
  <c r="I6" i="11"/>
  <c r="J6" i="11"/>
  <c r="X6" i="11"/>
  <c r="Z6" i="11"/>
  <c r="AA6" i="11"/>
  <c r="AB6" i="11"/>
  <c r="F7" i="11"/>
  <c r="H7" i="11"/>
  <c r="I7" i="11"/>
  <c r="J7" i="11"/>
  <c r="X7" i="11"/>
  <c r="Z7" i="11"/>
  <c r="AA7" i="11"/>
  <c r="AB7" i="11"/>
  <c r="F8" i="11"/>
  <c r="H8" i="11"/>
  <c r="I8" i="11"/>
  <c r="J8" i="11"/>
  <c r="X8" i="11"/>
  <c r="Z8" i="11"/>
  <c r="AA8" i="11"/>
  <c r="AB8" i="11"/>
  <c r="F9" i="11"/>
  <c r="H9" i="11"/>
  <c r="I9" i="11"/>
  <c r="J9" i="11"/>
  <c r="X9" i="11"/>
  <c r="Z9" i="11"/>
  <c r="AA9" i="11"/>
  <c r="AB9" i="11"/>
  <c r="F10" i="11"/>
  <c r="H10" i="11"/>
  <c r="I10" i="11"/>
  <c r="J10" i="11"/>
  <c r="X10" i="11"/>
  <c r="Z10" i="11"/>
  <c r="AA10" i="11"/>
  <c r="AB10" i="11"/>
  <c r="F11" i="11"/>
  <c r="H11" i="11"/>
  <c r="I11" i="11"/>
  <c r="J11" i="11"/>
  <c r="X11" i="11"/>
  <c r="Z11" i="11"/>
  <c r="AA11" i="11"/>
  <c r="AB11" i="11"/>
  <c r="F12" i="11"/>
  <c r="H12" i="11"/>
  <c r="I12" i="11"/>
  <c r="J12" i="11"/>
  <c r="X12" i="11"/>
  <c r="AA12" i="11"/>
  <c r="AB12" i="11"/>
  <c r="F13" i="11"/>
  <c r="H13" i="11"/>
  <c r="I13" i="11"/>
  <c r="J13" i="11"/>
  <c r="X13" i="11"/>
  <c r="AA13" i="11"/>
  <c r="AB13" i="11"/>
  <c r="F14" i="11"/>
  <c r="H14" i="11"/>
  <c r="I14" i="11"/>
  <c r="J14" i="11"/>
  <c r="X14" i="11"/>
  <c r="Z14" i="11"/>
  <c r="AA14" i="11"/>
  <c r="AB14" i="11"/>
  <c r="F15" i="11"/>
  <c r="H15" i="11"/>
  <c r="I15" i="11"/>
  <c r="J15" i="11"/>
  <c r="X15" i="11"/>
  <c r="Z15" i="11"/>
  <c r="AA15" i="11"/>
  <c r="AB15" i="11"/>
  <c r="F16" i="11"/>
  <c r="H16" i="11"/>
  <c r="I16" i="11"/>
  <c r="J16" i="11"/>
  <c r="X16" i="11"/>
  <c r="Z16" i="11"/>
  <c r="AA16" i="11"/>
  <c r="AB16" i="11"/>
  <c r="F17" i="11"/>
  <c r="H17" i="11"/>
  <c r="I17" i="11"/>
  <c r="J17" i="11"/>
  <c r="X17" i="11"/>
  <c r="Z17" i="11"/>
  <c r="AA17" i="11"/>
  <c r="AB17" i="11"/>
  <c r="F18" i="11"/>
  <c r="H18" i="11"/>
  <c r="I18" i="11"/>
  <c r="J18" i="11"/>
  <c r="X18" i="11"/>
  <c r="Z18" i="11"/>
  <c r="AA18" i="11"/>
  <c r="AB18" i="11"/>
  <c r="F19" i="11"/>
  <c r="H19" i="11"/>
  <c r="I19" i="11"/>
  <c r="J19" i="11"/>
  <c r="X19" i="11"/>
  <c r="Z19" i="11"/>
  <c r="AA19" i="11"/>
  <c r="AB19" i="11"/>
  <c r="F20" i="11"/>
  <c r="H20" i="11"/>
  <c r="I20" i="11"/>
  <c r="J20" i="11"/>
  <c r="X20" i="11"/>
  <c r="Z20" i="11"/>
  <c r="AA20" i="11"/>
  <c r="AB20" i="11"/>
  <c r="F21" i="11"/>
  <c r="H21" i="11"/>
  <c r="I21" i="11"/>
  <c r="J21" i="11"/>
  <c r="X21" i="11"/>
  <c r="Z21" i="11"/>
  <c r="AA21" i="11"/>
  <c r="AB21" i="11"/>
  <c r="F22" i="11"/>
  <c r="H22" i="11"/>
  <c r="I22" i="11"/>
  <c r="J22" i="11"/>
  <c r="X22" i="11"/>
  <c r="AA22" i="11"/>
  <c r="AB22" i="11"/>
  <c r="F23" i="11"/>
  <c r="H23" i="11"/>
  <c r="I23" i="11"/>
  <c r="J23" i="11"/>
  <c r="X23" i="11"/>
  <c r="AA23" i="11"/>
  <c r="AB23" i="11"/>
  <c r="F24" i="11"/>
  <c r="H24" i="11"/>
  <c r="I24" i="11"/>
  <c r="J24" i="11"/>
  <c r="X24" i="11"/>
  <c r="Z24" i="11"/>
  <c r="AA24" i="11"/>
  <c r="AB24" i="11"/>
  <c r="F25" i="11"/>
  <c r="H25" i="11"/>
  <c r="I25" i="11"/>
  <c r="J25" i="11"/>
  <c r="X25" i="11"/>
  <c r="Z25" i="11"/>
  <c r="AA25" i="11"/>
  <c r="AB25" i="11"/>
  <c r="F26" i="11"/>
  <c r="H26" i="11"/>
  <c r="I26" i="11"/>
  <c r="J26" i="11"/>
  <c r="X26" i="11"/>
  <c r="Z26" i="11"/>
  <c r="AA26" i="11"/>
  <c r="AB26" i="11"/>
  <c r="F27" i="11"/>
  <c r="H27" i="11"/>
  <c r="I27" i="11"/>
  <c r="J27" i="11"/>
  <c r="X27" i="11"/>
  <c r="Z27" i="11"/>
  <c r="AA27" i="11"/>
  <c r="AB27" i="11"/>
  <c r="F28" i="11"/>
  <c r="H28" i="11"/>
  <c r="I28" i="11"/>
  <c r="J28" i="11"/>
  <c r="X28" i="11"/>
  <c r="Z28" i="11"/>
  <c r="AA28" i="11"/>
  <c r="AB28" i="11"/>
  <c r="F29" i="11"/>
  <c r="H29" i="11"/>
  <c r="I29" i="11"/>
  <c r="J29" i="11"/>
  <c r="X29" i="11"/>
  <c r="Z29" i="11"/>
  <c r="AA29" i="11"/>
  <c r="AB29" i="11"/>
  <c r="B10" i="9"/>
  <c r="F10" i="9"/>
  <c r="L10" i="9"/>
  <c r="M10" i="9"/>
  <c r="N10" i="9"/>
  <c r="Q10" i="9"/>
  <c r="R10" i="9"/>
  <c r="S10" i="9"/>
  <c r="T10" i="9"/>
  <c r="U10" i="9"/>
  <c r="B11" i="9"/>
  <c r="F11" i="9"/>
  <c r="L11" i="9"/>
  <c r="M11" i="9"/>
  <c r="N11" i="9"/>
  <c r="Q11" i="9"/>
  <c r="R11" i="9"/>
  <c r="S11" i="9"/>
  <c r="T11" i="9"/>
  <c r="U11" i="9"/>
  <c r="B12" i="9"/>
  <c r="F12" i="9"/>
  <c r="L12" i="9"/>
  <c r="M12" i="9"/>
  <c r="N12" i="9"/>
  <c r="Q12" i="9"/>
  <c r="R12" i="9"/>
  <c r="S12" i="9"/>
  <c r="T12" i="9"/>
  <c r="U12" i="9"/>
  <c r="B13" i="9"/>
  <c r="F13" i="9"/>
  <c r="L13" i="9"/>
  <c r="M13" i="9"/>
  <c r="N13" i="9"/>
  <c r="Q13" i="9"/>
  <c r="R13" i="9"/>
  <c r="T13" i="9"/>
  <c r="U13" i="9"/>
  <c r="B14" i="9"/>
  <c r="F14" i="9"/>
  <c r="L14" i="9"/>
  <c r="M14" i="9"/>
  <c r="N14" i="9"/>
  <c r="Q14" i="9"/>
  <c r="R14" i="9"/>
  <c r="S14" i="9"/>
  <c r="T14" i="9"/>
  <c r="U14" i="9"/>
  <c r="B15" i="9"/>
  <c r="F15" i="9"/>
  <c r="L15" i="9"/>
  <c r="M15" i="9"/>
  <c r="N15" i="9"/>
  <c r="Q15" i="9"/>
  <c r="R15" i="9"/>
  <c r="S15" i="9"/>
  <c r="T15" i="9"/>
  <c r="U15" i="9"/>
  <c r="B16" i="9"/>
  <c r="F16" i="9"/>
  <c r="L16" i="9"/>
  <c r="M16" i="9"/>
  <c r="N16" i="9"/>
  <c r="Q16" i="9"/>
  <c r="R16" i="9"/>
  <c r="S16" i="9"/>
  <c r="T16" i="9"/>
  <c r="U16" i="9"/>
  <c r="B17" i="9"/>
  <c r="F17" i="9"/>
  <c r="L17" i="9"/>
  <c r="M17" i="9"/>
  <c r="N17" i="9"/>
  <c r="Q17" i="9"/>
  <c r="R17" i="9"/>
  <c r="S17" i="9"/>
  <c r="T17" i="9"/>
  <c r="U17" i="9"/>
  <c r="B18" i="9"/>
  <c r="F18" i="9"/>
  <c r="L18" i="9"/>
  <c r="M18" i="9"/>
  <c r="N18" i="9"/>
  <c r="Q18" i="9"/>
  <c r="R18" i="9"/>
  <c r="T18" i="9"/>
  <c r="U18" i="9"/>
  <c r="B19" i="9"/>
  <c r="F19" i="9"/>
  <c r="L19" i="9"/>
  <c r="M19" i="9"/>
  <c r="N19" i="9"/>
  <c r="Q19" i="9"/>
  <c r="R19" i="9"/>
  <c r="S19" i="9"/>
  <c r="T19" i="9"/>
  <c r="U19" i="9"/>
  <c r="B20" i="9"/>
  <c r="F20" i="9"/>
  <c r="L20" i="9"/>
  <c r="M20" i="9"/>
  <c r="N20" i="9"/>
  <c r="Q20" i="9"/>
  <c r="R20" i="9"/>
  <c r="S20" i="9"/>
  <c r="T20" i="9"/>
  <c r="U20" i="9"/>
  <c r="B21" i="9"/>
  <c r="F21" i="9"/>
  <c r="L21" i="9"/>
  <c r="M21" i="9"/>
  <c r="N21" i="9"/>
  <c r="Q21" i="9"/>
  <c r="R21" i="9"/>
  <c r="S21" i="9"/>
  <c r="T21" i="9"/>
  <c r="U21" i="9"/>
  <c r="D7" i="13"/>
  <c r="E7" i="13"/>
  <c r="F7" i="13"/>
  <c r="G7" i="13"/>
  <c r="H7" i="13"/>
  <c r="I7" i="13"/>
  <c r="J7" i="13"/>
  <c r="K7" i="13"/>
  <c r="M7" i="13"/>
  <c r="O7" i="13"/>
  <c r="P7" i="13"/>
  <c r="Q7" i="13"/>
  <c r="S7" i="13"/>
  <c r="T7" i="13"/>
  <c r="U7" i="13"/>
  <c r="D8" i="13"/>
  <c r="E8" i="13"/>
  <c r="F8" i="13"/>
  <c r="G8" i="13"/>
  <c r="H8" i="13"/>
  <c r="I8" i="13"/>
  <c r="J8" i="13"/>
  <c r="K8" i="13"/>
  <c r="M8" i="13"/>
  <c r="Q8" i="13"/>
  <c r="S8" i="13"/>
  <c r="T8" i="13"/>
  <c r="U8" i="13"/>
  <c r="D9" i="13"/>
  <c r="E9" i="13"/>
  <c r="F9" i="13"/>
  <c r="G9" i="13"/>
  <c r="H9" i="13"/>
  <c r="I9" i="13"/>
  <c r="J9" i="13"/>
  <c r="K9" i="13"/>
  <c r="M9" i="13"/>
  <c r="Q9" i="13"/>
  <c r="S9" i="13"/>
  <c r="T9" i="13"/>
  <c r="U9" i="13"/>
  <c r="D10" i="13"/>
  <c r="E10" i="13"/>
  <c r="F10" i="13"/>
  <c r="G10" i="13"/>
  <c r="H10" i="13"/>
  <c r="I10" i="13"/>
  <c r="J10" i="13"/>
  <c r="K10" i="13"/>
  <c r="M10" i="13"/>
  <c r="Q10" i="13"/>
  <c r="S10" i="13"/>
  <c r="T10" i="13"/>
  <c r="U10" i="13"/>
  <c r="D11" i="13"/>
  <c r="E11" i="13"/>
  <c r="F11" i="13"/>
  <c r="G11" i="13"/>
  <c r="H11" i="13"/>
  <c r="I11" i="13"/>
  <c r="J11" i="13"/>
  <c r="K11" i="13"/>
  <c r="M11" i="13"/>
  <c r="Q11" i="13"/>
  <c r="S11" i="13"/>
  <c r="T11" i="13"/>
  <c r="U11" i="13"/>
  <c r="D12" i="13"/>
  <c r="E12" i="13"/>
  <c r="F12" i="13"/>
  <c r="G12" i="13"/>
  <c r="H12" i="13"/>
  <c r="I12" i="13"/>
  <c r="J12" i="13"/>
  <c r="K12" i="13"/>
  <c r="M12" i="13"/>
  <c r="Q12" i="13"/>
  <c r="S12" i="13"/>
  <c r="T12" i="13"/>
  <c r="U12" i="13"/>
  <c r="D13" i="13"/>
  <c r="E13" i="13"/>
  <c r="F13" i="13"/>
  <c r="G13" i="13"/>
  <c r="H13" i="13"/>
  <c r="I13" i="13"/>
  <c r="J13" i="13"/>
  <c r="K13" i="13"/>
  <c r="M13" i="13"/>
  <c r="Q13" i="13"/>
  <c r="S13" i="13"/>
  <c r="T13" i="13"/>
  <c r="U13" i="13"/>
  <c r="D14" i="13"/>
  <c r="E14" i="13"/>
  <c r="F14" i="13"/>
  <c r="G14" i="13"/>
  <c r="H14" i="13"/>
  <c r="I14" i="13"/>
  <c r="J14" i="13"/>
  <c r="K14" i="13"/>
  <c r="M14" i="13"/>
  <c r="Q14" i="13"/>
  <c r="S14" i="13"/>
  <c r="T14" i="13"/>
  <c r="U14" i="13"/>
  <c r="D15" i="13"/>
  <c r="E15" i="13"/>
  <c r="F15" i="13"/>
  <c r="G15" i="13"/>
  <c r="H15" i="13"/>
  <c r="I15" i="13"/>
  <c r="J15" i="13"/>
  <c r="K15" i="13"/>
  <c r="M15" i="13"/>
  <c r="Q15" i="13"/>
  <c r="S15" i="13"/>
  <c r="T15" i="13"/>
  <c r="U15" i="13"/>
  <c r="D16" i="13"/>
  <c r="E16" i="13"/>
  <c r="F16" i="13"/>
  <c r="G16" i="13"/>
  <c r="H16" i="13"/>
  <c r="I16" i="13"/>
  <c r="J16" i="13"/>
  <c r="K16" i="13"/>
  <c r="M16" i="13"/>
  <c r="Q16" i="13"/>
  <c r="S16" i="13"/>
  <c r="T16" i="13"/>
  <c r="U16" i="13"/>
  <c r="D17" i="13"/>
  <c r="E17" i="13"/>
  <c r="F17" i="13"/>
  <c r="G17" i="13"/>
  <c r="H17" i="13"/>
  <c r="I17" i="13"/>
  <c r="J17" i="13"/>
  <c r="K17" i="13"/>
  <c r="M17" i="13"/>
  <c r="Q17" i="13"/>
  <c r="S17" i="13"/>
  <c r="T17" i="13"/>
  <c r="U17" i="13"/>
  <c r="D18" i="13"/>
  <c r="E18" i="13"/>
  <c r="F18" i="13"/>
  <c r="G18" i="13"/>
  <c r="H18" i="13"/>
  <c r="I18" i="13"/>
  <c r="J18" i="13"/>
  <c r="K18" i="13"/>
  <c r="M18" i="13"/>
  <c r="Q18" i="13"/>
  <c r="S18" i="13"/>
  <c r="T18" i="13"/>
  <c r="U18" i="13"/>
  <c r="K26" i="5"/>
  <c r="M26" i="5"/>
  <c r="N26" i="5"/>
  <c r="O26" i="5"/>
  <c r="V26" i="5"/>
  <c r="X26" i="5"/>
  <c r="Y26" i="5"/>
  <c r="Z26" i="5"/>
  <c r="K27" i="5"/>
  <c r="M27" i="5"/>
  <c r="N27" i="5"/>
  <c r="O27" i="5"/>
  <c r="V27" i="5"/>
  <c r="X27" i="5"/>
  <c r="Y27" i="5"/>
  <c r="Z27" i="5"/>
  <c r="K28" i="5"/>
  <c r="M28" i="5"/>
  <c r="N28" i="5"/>
  <c r="O28" i="5"/>
  <c r="V28" i="5"/>
  <c r="X28" i="5"/>
  <c r="Y28" i="5"/>
  <c r="Z28" i="5"/>
  <c r="K29" i="5"/>
  <c r="M29" i="5"/>
  <c r="N29" i="5"/>
  <c r="O29" i="5"/>
  <c r="V29" i="5"/>
  <c r="Y29" i="5"/>
  <c r="Z29" i="5"/>
  <c r="K30" i="5"/>
  <c r="M30" i="5"/>
  <c r="N30" i="5"/>
  <c r="O30" i="5"/>
  <c r="V30" i="5"/>
  <c r="X30" i="5"/>
  <c r="Y30" i="5"/>
  <c r="Z30" i="5"/>
  <c r="K31" i="5"/>
  <c r="M31" i="5"/>
  <c r="N31" i="5"/>
  <c r="O31" i="5"/>
  <c r="V31" i="5"/>
  <c r="X31" i="5"/>
  <c r="Y31" i="5"/>
  <c r="Z31" i="5"/>
  <c r="K32" i="5"/>
  <c r="M32" i="5"/>
  <c r="N32" i="5"/>
  <c r="O32" i="5"/>
  <c r="V32" i="5"/>
  <c r="X32" i="5"/>
  <c r="Y32" i="5"/>
  <c r="Z32" i="5"/>
  <c r="K33" i="5"/>
  <c r="M33" i="5"/>
  <c r="N33" i="5"/>
  <c r="O33" i="5"/>
  <c r="V33" i="5"/>
  <c r="X33" i="5"/>
  <c r="Y33" i="5"/>
  <c r="Z33" i="5"/>
  <c r="K34" i="5"/>
  <c r="M34" i="5"/>
  <c r="N34" i="5"/>
  <c r="O34" i="5"/>
  <c r="V34" i="5"/>
  <c r="Y34" i="5"/>
  <c r="Z34" i="5"/>
  <c r="K35" i="5"/>
  <c r="M35" i="5"/>
  <c r="N35" i="5"/>
  <c r="O35" i="5"/>
  <c r="V35" i="5"/>
  <c r="X35" i="5"/>
  <c r="Y35" i="5"/>
  <c r="Z35" i="5"/>
  <c r="K36" i="5"/>
  <c r="M36" i="5"/>
  <c r="N36" i="5"/>
  <c r="O36" i="5"/>
  <c r="V36" i="5"/>
  <c r="X36" i="5"/>
  <c r="Y36" i="5"/>
  <c r="Z36" i="5"/>
  <c r="K37" i="5"/>
  <c r="M37" i="5"/>
  <c r="N37" i="5"/>
  <c r="O37" i="5"/>
  <c r="V37" i="5"/>
  <c r="X37" i="5"/>
  <c r="Y37" i="5"/>
  <c r="Z37" i="5"/>
  <c r="B10" i="3"/>
  <c r="F10" i="3"/>
  <c r="L10" i="3"/>
  <c r="M10" i="3"/>
  <c r="N10" i="3"/>
  <c r="P10" i="3"/>
  <c r="Q10" i="3"/>
  <c r="R10" i="3"/>
  <c r="T10" i="3"/>
  <c r="X10" i="3"/>
  <c r="AC10" i="3"/>
  <c r="AE10" i="3"/>
  <c r="AH10" i="3"/>
  <c r="B11" i="3"/>
  <c r="F11" i="3"/>
  <c r="L11" i="3"/>
  <c r="M11" i="3"/>
  <c r="N11" i="3"/>
  <c r="P11" i="3"/>
  <c r="Q11" i="3"/>
  <c r="R11" i="3"/>
  <c r="T11" i="3"/>
  <c r="X11" i="3"/>
  <c r="AC11" i="3"/>
  <c r="AE11" i="3"/>
  <c r="AH11" i="3"/>
  <c r="B12" i="3"/>
  <c r="F12" i="3"/>
  <c r="L12" i="3"/>
  <c r="M12" i="3"/>
  <c r="N12" i="3"/>
  <c r="P12" i="3"/>
  <c r="Q12" i="3"/>
  <c r="R12" i="3"/>
  <c r="T12" i="3"/>
  <c r="X12" i="3"/>
  <c r="AC12" i="3"/>
  <c r="AE12" i="3"/>
  <c r="AH12" i="3"/>
  <c r="B13" i="3"/>
  <c r="F13" i="3"/>
  <c r="L13" i="3"/>
  <c r="M13" i="3"/>
  <c r="N13" i="3"/>
  <c r="P13" i="3"/>
  <c r="Q13" i="3"/>
  <c r="R13" i="3"/>
  <c r="T13" i="3"/>
  <c r="X13" i="3"/>
  <c r="AC13" i="3"/>
  <c r="AE13" i="3"/>
  <c r="AH13" i="3"/>
  <c r="B14" i="3"/>
  <c r="F14" i="3"/>
  <c r="L14" i="3"/>
  <c r="M14" i="3"/>
  <c r="N14" i="3"/>
  <c r="P14" i="3"/>
  <c r="Q14" i="3"/>
  <c r="R14" i="3"/>
  <c r="T14" i="3"/>
  <c r="X14" i="3"/>
  <c r="AC14" i="3"/>
  <c r="AE14" i="3"/>
  <c r="AH14" i="3"/>
  <c r="B15" i="3"/>
  <c r="F15" i="3"/>
  <c r="L15" i="3"/>
  <c r="M15" i="3"/>
  <c r="N15" i="3"/>
  <c r="P15" i="3"/>
  <c r="Q15" i="3"/>
  <c r="R15" i="3"/>
  <c r="T15" i="3"/>
  <c r="X15" i="3"/>
  <c r="AC15" i="3"/>
  <c r="AE15" i="3"/>
  <c r="AH15" i="3"/>
  <c r="B16" i="3"/>
  <c r="F16" i="3"/>
  <c r="L16" i="3"/>
  <c r="M16" i="3"/>
  <c r="N16" i="3"/>
  <c r="P16" i="3"/>
  <c r="Q16" i="3"/>
  <c r="R16" i="3"/>
  <c r="T16" i="3"/>
  <c r="X16" i="3"/>
  <c r="AC16" i="3"/>
  <c r="AE16" i="3"/>
  <c r="AH16" i="3"/>
  <c r="B17" i="3"/>
  <c r="F17" i="3"/>
  <c r="L17" i="3"/>
  <c r="M17" i="3"/>
  <c r="N17" i="3"/>
  <c r="P17" i="3"/>
  <c r="Q17" i="3"/>
  <c r="R17" i="3"/>
  <c r="T17" i="3"/>
  <c r="X17" i="3"/>
  <c r="AC17" i="3"/>
  <c r="AE17" i="3"/>
  <c r="AH17" i="3"/>
  <c r="B18" i="3"/>
  <c r="F18" i="3"/>
  <c r="L18" i="3"/>
  <c r="M18" i="3"/>
  <c r="N18" i="3"/>
  <c r="P18" i="3"/>
  <c r="Q18" i="3"/>
  <c r="R18" i="3"/>
  <c r="T18" i="3"/>
  <c r="X18" i="3"/>
  <c r="AC18" i="3"/>
  <c r="AE18" i="3"/>
  <c r="AH18" i="3"/>
  <c r="B19" i="3"/>
  <c r="F19" i="3"/>
  <c r="L19" i="3"/>
  <c r="M19" i="3"/>
  <c r="N19" i="3"/>
  <c r="P19" i="3"/>
  <c r="Q19" i="3"/>
  <c r="R19" i="3"/>
  <c r="T19" i="3"/>
  <c r="X19" i="3"/>
  <c r="AC19" i="3"/>
  <c r="AE19" i="3"/>
  <c r="AH19" i="3"/>
  <c r="B20" i="3"/>
  <c r="F20" i="3"/>
  <c r="L20" i="3"/>
  <c r="M20" i="3"/>
  <c r="N20" i="3"/>
  <c r="P20" i="3"/>
  <c r="Q20" i="3"/>
  <c r="R20" i="3"/>
  <c r="T20" i="3"/>
  <c r="X20" i="3"/>
  <c r="AC20" i="3"/>
  <c r="AE20" i="3"/>
  <c r="AH20" i="3"/>
  <c r="B21" i="3"/>
  <c r="F21" i="3"/>
  <c r="L21" i="3"/>
  <c r="M21" i="3"/>
  <c r="N21" i="3"/>
  <c r="P21" i="3"/>
  <c r="Q21" i="3"/>
  <c r="R21" i="3"/>
  <c r="T21" i="3"/>
  <c r="X21" i="3"/>
  <c r="AC21" i="3"/>
  <c r="AE21" i="3"/>
  <c r="AH21" i="3"/>
  <c r="D8" i="7"/>
  <c r="E8" i="7"/>
  <c r="F8" i="7"/>
  <c r="G8" i="7"/>
  <c r="H8" i="7"/>
  <c r="I8" i="7"/>
  <c r="J8" i="7"/>
  <c r="K8" i="7"/>
  <c r="L8" i="7"/>
  <c r="V8" i="7"/>
  <c r="W8" i="7"/>
  <c r="X8" i="7"/>
  <c r="Y8" i="7"/>
  <c r="AA8" i="7"/>
  <c r="AC8" i="7"/>
  <c r="AD8" i="7"/>
  <c r="AE8" i="7"/>
  <c r="AG8" i="7"/>
  <c r="AH8" i="7"/>
  <c r="AI8" i="7"/>
  <c r="D9" i="7"/>
  <c r="E9" i="7"/>
  <c r="F9" i="7"/>
  <c r="G9" i="7"/>
  <c r="H9" i="7"/>
  <c r="I9" i="7"/>
  <c r="J9" i="7"/>
  <c r="K9" i="7"/>
  <c r="L9" i="7"/>
  <c r="V9" i="7"/>
  <c r="W9" i="7"/>
  <c r="X9" i="7"/>
  <c r="Y9" i="7"/>
  <c r="AA9" i="7"/>
  <c r="AE9" i="7"/>
  <c r="AG9" i="7"/>
  <c r="AH9" i="7"/>
  <c r="AI9" i="7"/>
  <c r="D10" i="7"/>
  <c r="E10" i="7"/>
  <c r="F10" i="7"/>
  <c r="G10" i="7"/>
  <c r="H10" i="7"/>
  <c r="I10" i="7"/>
  <c r="J10" i="7"/>
  <c r="K10" i="7"/>
  <c r="L10" i="7"/>
  <c r="V10" i="7"/>
  <c r="W10" i="7"/>
  <c r="X10" i="7"/>
  <c r="Y10" i="7"/>
  <c r="AA10" i="7"/>
  <c r="AE10" i="7"/>
  <c r="AG10" i="7"/>
  <c r="AH10" i="7"/>
  <c r="AI10" i="7"/>
  <c r="D11" i="7"/>
  <c r="E11" i="7"/>
  <c r="F11" i="7"/>
  <c r="G11" i="7"/>
  <c r="H11" i="7"/>
  <c r="I11" i="7"/>
  <c r="J11" i="7"/>
  <c r="K11" i="7"/>
  <c r="L11" i="7"/>
  <c r="V11" i="7"/>
  <c r="W11" i="7"/>
  <c r="X11" i="7"/>
  <c r="Y11" i="7"/>
  <c r="AA11" i="7"/>
  <c r="AE11" i="7"/>
  <c r="AG11" i="7"/>
  <c r="AH11" i="7"/>
  <c r="AI11" i="7"/>
  <c r="D12" i="7"/>
  <c r="E12" i="7"/>
  <c r="F12" i="7"/>
  <c r="G12" i="7"/>
  <c r="H12" i="7"/>
  <c r="I12" i="7"/>
  <c r="J12" i="7"/>
  <c r="K12" i="7"/>
  <c r="L12" i="7"/>
  <c r="V12" i="7"/>
  <c r="W12" i="7"/>
  <c r="X12" i="7"/>
  <c r="Y12" i="7"/>
  <c r="AA12" i="7"/>
  <c r="AE12" i="7"/>
  <c r="AG12" i="7"/>
  <c r="AH12" i="7"/>
  <c r="AI12" i="7"/>
  <c r="D13" i="7"/>
  <c r="E13" i="7"/>
  <c r="F13" i="7"/>
  <c r="G13" i="7"/>
  <c r="H13" i="7"/>
  <c r="I13" i="7"/>
  <c r="J13" i="7"/>
  <c r="K13" i="7"/>
  <c r="L13" i="7"/>
  <c r="V13" i="7"/>
  <c r="W13" i="7"/>
  <c r="X13" i="7"/>
  <c r="Y13" i="7"/>
  <c r="AA13" i="7"/>
  <c r="AE13" i="7"/>
  <c r="AG13" i="7"/>
  <c r="AH13" i="7"/>
  <c r="AI13" i="7"/>
  <c r="D14" i="7"/>
  <c r="E14" i="7"/>
  <c r="F14" i="7"/>
  <c r="G14" i="7"/>
  <c r="H14" i="7"/>
  <c r="I14" i="7"/>
  <c r="J14" i="7"/>
  <c r="K14" i="7"/>
  <c r="L14" i="7"/>
  <c r="V14" i="7"/>
  <c r="W14" i="7"/>
  <c r="X14" i="7"/>
  <c r="Y14" i="7"/>
  <c r="AA14" i="7"/>
  <c r="AE14" i="7"/>
  <c r="AG14" i="7"/>
  <c r="AH14" i="7"/>
  <c r="AI14" i="7"/>
  <c r="D15" i="7"/>
  <c r="E15" i="7"/>
  <c r="F15" i="7"/>
  <c r="G15" i="7"/>
  <c r="H15" i="7"/>
  <c r="I15" i="7"/>
  <c r="J15" i="7"/>
  <c r="K15" i="7"/>
  <c r="L15" i="7"/>
  <c r="V15" i="7"/>
  <c r="W15" i="7"/>
  <c r="X15" i="7"/>
  <c r="Y15" i="7"/>
  <c r="AA15" i="7"/>
  <c r="AE15" i="7"/>
  <c r="AG15" i="7"/>
  <c r="AH15" i="7"/>
  <c r="AI15" i="7"/>
  <c r="D16" i="7"/>
  <c r="E16" i="7"/>
  <c r="F16" i="7"/>
  <c r="G16" i="7"/>
  <c r="H16" i="7"/>
  <c r="I16" i="7"/>
  <c r="J16" i="7"/>
  <c r="K16" i="7"/>
  <c r="L16" i="7"/>
  <c r="V16" i="7"/>
  <c r="W16" i="7"/>
  <c r="X16" i="7"/>
  <c r="Y16" i="7"/>
  <c r="AA16" i="7"/>
  <c r="AE16" i="7"/>
  <c r="AG16" i="7"/>
  <c r="AH16" i="7"/>
  <c r="AI16" i="7"/>
  <c r="D17" i="7"/>
  <c r="E17" i="7"/>
  <c r="F17" i="7"/>
  <c r="G17" i="7"/>
  <c r="H17" i="7"/>
  <c r="I17" i="7"/>
  <c r="J17" i="7"/>
  <c r="K17" i="7"/>
  <c r="L17" i="7"/>
  <c r="V17" i="7"/>
  <c r="W17" i="7"/>
  <c r="X17" i="7"/>
  <c r="Y17" i="7"/>
  <c r="AA17" i="7"/>
  <c r="AE17" i="7"/>
  <c r="AG17" i="7"/>
  <c r="AH17" i="7"/>
  <c r="AI17" i="7"/>
  <c r="D18" i="7"/>
  <c r="E18" i="7"/>
  <c r="F18" i="7"/>
  <c r="G18" i="7"/>
  <c r="H18" i="7"/>
  <c r="I18" i="7"/>
  <c r="J18" i="7"/>
  <c r="K18" i="7"/>
  <c r="L18" i="7"/>
  <c r="V18" i="7"/>
  <c r="W18" i="7"/>
  <c r="X18" i="7"/>
  <c r="Y18" i="7"/>
  <c r="AA18" i="7"/>
  <c r="AE18" i="7"/>
  <c r="AG18" i="7"/>
  <c r="AH18" i="7"/>
  <c r="AI18" i="7"/>
  <c r="D19" i="7"/>
  <c r="E19" i="7"/>
  <c r="F19" i="7"/>
  <c r="G19" i="7"/>
  <c r="H19" i="7"/>
  <c r="I19" i="7"/>
  <c r="J19" i="7"/>
  <c r="K19" i="7"/>
  <c r="L19" i="7"/>
  <c r="V19" i="7"/>
  <c r="W19" i="7"/>
  <c r="X19" i="7"/>
  <c r="Y19" i="7"/>
  <c r="AA19" i="7"/>
  <c r="AE19" i="7"/>
  <c r="AG19" i="7"/>
  <c r="AH19" i="7"/>
  <c r="AI19"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Kristin</author>
    <author>Error, Braden M.</author>
    <author>berror</author>
    <author>lextreme</author>
    <author>Braden Error</author>
  </authors>
  <commentList>
    <comment ref="E10" authorId="0" shapeId="0" xr:uid="{00000000-0006-0000-0100-000001000000}">
      <text>
        <r>
          <rPr>
            <sz val="9"/>
            <color indexed="81"/>
            <rFont val="Tahoma"/>
            <family val="2"/>
          </rPr>
          <t>Enter a value between 0 and the maximum depth listed in the table below.
This is the groundwater level at time of drilling and is used to calculate (N1)60.</t>
        </r>
      </text>
    </comment>
    <comment ref="E11" authorId="0" shapeId="0" xr:uid="{00000000-0006-0000-0100-000002000000}">
      <text>
        <r>
          <rPr>
            <sz val="9"/>
            <color indexed="81"/>
            <rFont val="Tahoma"/>
            <family val="2"/>
          </rPr>
          <t>Enter a value between 0 and the maximum depth listed in the table below.
This is the groundwater level at the time of earthquake.</t>
        </r>
      </text>
    </comment>
    <comment ref="D12" authorId="1" shapeId="0" xr:uid="{00000000-0006-0000-0100-000003000000}">
      <text>
        <r>
          <rPr>
            <sz val="9"/>
            <color indexed="81"/>
            <rFont val="Tahoma"/>
            <charset val="1"/>
          </rPr>
          <t xml:space="preserve">Blowcounts obtained from non-standard size samplers will be converted to raw blowcounts as-if a standard size sampler (2-in OD) was used. Select the sampler type used to obtain blowcounts or select custom factor to convert non-standard sampler size blowcounts. See "References" tab for more information.
</t>
        </r>
      </text>
    </comment>
    <comment ref="H12" authorId="0" shapeId="0" xr:uid="{00000000-0006-0000-0100-000004000000}">
      <text>
        <r>
          <rPr>
            <sz val="9"/>
            <color indexed="81"/>
            <rFont val="Tahoma"/>
            <family val="2"/>
          </rPr>
          <t>This is an optional value to account for depositional age of soil in the CRR equation (see Hyati and Andrus, 2009).  Leave blank or enter "1.0" if K_DR is not needed in the analysis.</t>
        </r>
      </text>
    </comment>
    <comment ref="I12" authorId="0" shapeId="0" xr:uid="{00000000-0006-0000-0100-000005000000}">
      <text>
        <r>
          <rPr>
            <sz val="9"/>
            <color indexed="81"/>
            <rFont val="Tahoma"/>
            <family val="2"/>
          </rPr>
          <t>This value is not used in any calculation, but provides additional information for the engineer.
e.g. "CH" for "Fat Clay"</t>
        </r>
      </text>
    </comment>
    <comment ref="J12" authorId="0" shapeId="0" xr:uid="{00000000-0006-0000-0100-000006000000}">
      <text>
        <r>
          <rPr>
            <sz val="9"/>
            <color indexed="81"/>
            <rFont val="Tahoma"/>
            <family val="2"/>
          </rPr>
          <t>"Yes"= consider this layer to be susceptible to liquefaction in the analysis.
"No" = do not consider this layer to be susceptible to liquefaction in the analysis.
This is determined by the engineer.</t>
        </r>
      </text>
    </comment>
    <comment ref="P13" authorId="2" shapeId="0" xr:uid="{00000000-0006-0000-0100-000007000000}">
      <text>
        <r>
          <rPr>
            <sz val="9"/>
            <color indexed="81"/>
            <rFont val="Tahoma"/>
            <family val="2"/>
          </rPr>
          <t xml:space="preserve">Liquefaction initiation procedure after Cetin et al. (2004); Settlement procedure after Cetin et al. (2009)
</t>
        </r>
      </text>
    </comment>
    <comment ref="R13" authorId="2" shapeId="0" xr:uid="{00000000-0006-0000-0100-000008000000}">
      <text>
        <r>
          <rPr>
            <sz val="9"/>
            <color indexed="81"/>
            <rFont val="Tahoma"/>
            <family val="2"/>
          </rPr>
          <t>Liquefaction initiation procedure after Boulanger and Idriss (2012). Liquefaction settlement procedure as implemented by Boulanger and Idriss (2008) using the Ishihara and Yoshimine (1992) strain model.</t>
        </r>
      </text>
    </comment>
    <comment ref="U16" authorId="2" shapeId="0" xr:uid="{00000000-0006-0000-0100-000009000000}">
      <text>
        <r>
          <rPr>
            <sz val="9"/>
            <color indexed="81"/>
            <rFont val="Tahoma"/>
            <family val="2"/>
          </rPr>
          <t>Seismic slope displacement prcedure after Rathje and Saygili (2009)</t>
        </r>
      </text>
    </comment>
    <comment ref="W16" authorId="2" shapeId="0" xr:uid="{00000000-0006-0000-0100-00000A000000}">
      <text>
        <r>
          <rPr>
            <sz val="9"/>
            <color indexed="81"/>
            <rFont val="Tahoma"/>
            <family val="2"/>
          </rPr>
          <t>Seismic slope displacement procedure after Bray and Travasarou (2007)</t>
        </r>
      </text>
    </comment>
    <comment ref="L27" authorId="1" shapeId="0" xr:uid="{00000000-0006-0000-0100-00000B000000}">
      <text>
        <r>
          <rPr>
            <sz val="9"/>
            <color indexed="81"/>
            <rFont val="Tahoma"/>
            <family val="2"/>
          </rPr>
          <t>This value only applies if "Custom Factor" is selected as the sampler type.</t>
        </r>
      </text>
    </comment>
    <comment ref="B36" authorId="0" shapeId="0" xr:uid="{00000000-0006-0000-0100-00000C000000}">
      <text>
        <r>
          <rPr>
            <sz val="9"/>
            <color indexed="81"/>
            <rFont val="Tahoma"/>
            <family val="2"/>
          </rPr>
          <t>This PGA value is used to estimate an F_PGA for the correction factors.  See References tab for instructions</t>
        </r>
      </text>
    </comment>
    <comment ref="F36" authorId="3" shapeId="0" xr:uid="{00000000-0006-0000-0100-00000D000000}">
      <text>
        <r>
          <rPr>
            <sz val="9"/>
            <color indexed="81"/>
            <rFont val="Tahoma"/>
            <family val="2"/>
          </rPr>
          <t>This value is the slope of the site in percent. For help with this parameter review the references tab</t>
        </r>
      </text>
    </comment>
    <comment ref="J36" authorId="0" shapeId="0" xr:uid="{00000000-0006-0000-0100-00000E000000}">
      <text>
        <r>
          <rPr>
            <sz val="9"/>
            <color indexed="81"/>
            <rFont val="Tahoma"/>
            <family val="2"/>
          </rPr>
          <t>Specify ky (yield acceleration) If PGA&lt;=0.1g and Ky&lt;=0.17g Seismic Slope Displacements using Rathje and Saygili will not be computed due to model limitations.</t>
        </r>
      </text>
    </comment>
    <comment ref="B37" authorId="0" shapeId="0" xr:uid="{00000000-0006-0000-0100-00000F000000}">
      <text>
        <r>
          <rPr>
            <sz val="9"/>
            <color indexed="81"/>
            <rFont val="Tahoma"/>
            <family val="2"/>
          </rPr>
          <t>If the checkbox for automatic calculation of F_pga is checked, this will be filled for you.  Otherwise, you can specify your own value.  See References tab for details.</t>
        </r>
      </text>
    </comment>
    <comment ref="F37" authorId="3" shapeId="0" xr:uid="{00000000-0006-0000-0100-000010000000}">
      <text>
        <r>
          <rPr>
            <sz val="9"/>
            <color indexed="81"/>
            <rFont val="Tahoma"/>
            <family val="2"/>
          </rPr>
          <t>This the free-face ratio, (H/L). For help with this parameter review the references tab</t>
        </r>
      </text>
    </comment>
    <comment ref="B38" authorId="0" shapeId="0" xr:uid="{00000000-0006-0000-0100-000011000000}">
      <text>
        <r>
          <rPr>
            <sz val="9"/>
            <color indexed="81"/>
            <rFont val="Tahoma"/>
            <family val="2"/>
          </rPr>
          <t>This value is used to estimate the MSF correction factor.  It is obtained from USGS deaggregation website (as explained in reference page). This is the MEAN magnitude; do not use the modal magnitude.</t>
        </r>
      </text>
    </comment>
    <comment ref="F38" authorId="3" shapeId="0" xr:uid="{00000000-0006-0000-0100-000012000000}">
      <text>
        <r>
          <rPr>
            <sz val="9"/>
            <color indexed="81"/>
            <rFont val="Tahoma"/>
            <family val="2"/>
          </rPr>
          <t>This is the cumulative thickness of saturated granular layers with corrected SPT blowcounts &lt; 15.
For help with this parameter review the references tab</t>
        </r>
      </text>
    </comment>
    <comment ref="B39" authorId="0" shapeId="0" xr:uid="{00000000-0006-0000-0100-000013000000}">
      <text>
        <r>
          <rPr>
            <sz val="9"/>
            <color indexed="81"/>
            <rFont val="Tahoma"/>
            <family val="2"/>
          </rPr>
          <t>Only used for Cetin et al (2004) model.  See References tab for help.</t>
        </r>
      </text>
    </comment>
    <comment ref="F39" authorId="3" shapeId="0" xr:uid="{00000000-0006-0000-0100-000014000000}">
      <text>
        <r>
          <rPr>
            <sz val="9"/>
            <color indexed="81"/>
            <rFont val="Tahoma"/>
            <family val="2"/>
          </rPr>
          <t>This is the average fines content for all T</t>
        </r>
        <r>
          <rPr>
            <vertAlign val="subscript"/>
            <sz val="9"/>
            <color indexed="81"/>
            <rFont val="Tahoma"/>
            <family val="2"/>
          </rPr>
          <t>15</t>
        </r>
        <r>
          <rPr>
            <sz val="9"/>
            <color indexed="81"/>
            <rFont val="Tahoma"/>
            <family val="2"/>
          </rPr>
          <t xml:space="preserve"> layers.
For help with this parameter review the references tab</t>
        </r>
      </text>
    </comment>
    <comment ref="B40" authorId="0" shapeId="0" xr:uid="{00000000-0006-0000-0100-000015000000}">
      <text>
        <r>
          <rPr>
            <sz val="9"/>
            <color indexed="81"/>
            <rFont val="Tahoma"/>
            <family val="2"/>
          </rPr>
          <t>Values A through F, see References page for help</t>
        </r>
      </text>
    </comment>
    <comment ref="F40" authorId="3" shapeId="0" xr:uid="{00000000-0006-0000-0100-000016000000}">
      <text>
        <r>
          <rPr>
            <sz val="9"/>
            <color indexed="81"/>
            <rFont val="Tahoma"/>
            <family val="2"/>
          </rPr>
          <t>This is the mean grain size for T</t>
        </r>
        <r>
          <rPr>
            <vertAlign val="subscript"/>
            <sz val="9"/>
            <color indexed="81"/>
            <rFont val="Tahoma"/>
            <family val="2"/>
          </rPr>
          <t>15</t>
        </r>
        <r>
          <rPr>
            <sz val="9"/>
            <color indexed="81"/>
            <rFont val="Tahoma"/>
            <family val="2"/>
          </rPr>
          <t xml:space="preserve"> layers.
For help with this parameter review the references tab</t>
        </r>
      </text>
    </comment>
    <comment ref="B44" authorId="4" shapeId="0" xr:uid="{00000000-0006-0000-0100-000017000000}">
      <text>
        <r>
          <rPr>
            <sz val="9"/>
            <color indexed="81"/>
            <rFont val="Tahoma"/>
            <family val="2"/>
          </rPr>
          <t>Option to use the 2014 or 2012 Magnitude Scaling Factor (MSF) in Idriss and Boulanger calculations.</t>
        </r>
      </text>
    </comment>
    <comment ref="B50" authorId="0" shapeId="0" xr:uid="{00000000-0006-0000-0100-000018000000}">
      <text>
        <r>
          <rPr>
            <sz val="9"/>
            <color indexed="81"/>
            <rFont val="Tahoma"/>
            <family val="2"/>
          </rPr>
          <t>This value must come from a Boulanger and Idriss liquefaction loading map.</t>
        </r>
      </text>
    </comment>
    <comment ref="F50" authorId="3" shapeId="0" xr:uid="{00000000-0006-0000-0100-000019000000}">
      <text>
        <r>
          <rPr>
            <sz val="9"/>
            <color indexed="81"/>
            <rFont val="Tahoma"/>
            <family val="2"/>
          </rPr>
          <t>This value must come from a lateral spread parameter map for a specified return period.
Do not perform any unit conversions on the reference parameter value.</t>
        </r>
      </text>
    </comment>
    <comment ref="J50" authorId="3" shapeId="0" xr:uid="{00000000-0006-0000-0100-00001A000000}">
      <text>
        <r>
          <rPr>
            <sz val="9"/>
            <color indexed="81"/>
            <rFont val="Tahoma"/>
            <family val="2"/>
          </rPr>
          <t>This value must come from a seismic slope displacement parameter map.</t>
        </r>
      </text>
    </comment>
    <comment ref="B51" authorId="0" shapeId="0" xr:uid="{00000000-0006-0000-0100-00001B000000}">
      <text>
        <r>
          <rPr>
            <sz val="9"/>
            <color indexed="81"/>
            <rFont val="Tahoma"/>
            <family val="2"/>
          </rPr>
          <t>This value must come from a Cetin et al. liquefaction loading map.</t>
        </r>
      </text>
    </comment>
    <comment ref="J51" authorId="3" shapeId="0" xr:uid="{00000000-0006-0000-0100-00001C000000}">
      <text>
        <r>
          <rPr>
            <sz val="9"/>
            <color indexed="81"/>
            <rFont val="Tahoma"/>
            <family val="2"/>
          </rPr>
          <t xml:space="preserve">This value must come from a seismic slope displacement parameter map.
</t>
        </r>
      </text>
    </comment>
    <comment ref="B52" authorId="2" shapeId="0" xr:uid="{00000000-0006-0000-0100-00001D000000}">
      <text>
        <r>
          <rPr>
            <sz val="9"/>
            <color indexed="81"/>
            <rFont val="Tahoma"/>
            <family val="2"/>
          </rPr>
          <t xml:space="preserve">This value must come from a Cetin et al. settlement parameter map.
</t>
        </r>
      </text>
    </comment>
    <comment ref="B53" authorId="2" shapeId="0" xr:uid="{00000000-0006-0000-0100-00001E000000}">
      <text>
        <r>
          <rPr>
            <sz val="9"/>
            <color indexed="81"/>
            <rFont val="Tahoma"/>
            <family val="2"/>
          </rPr>
          <t>This value must come from a Ishihara and Yoshimine settlement loading map.</t>
        </r>
      </text>
    </comment>
    <comment ref="B61" authorId="0" shapeId="0" xr:uid="{00000000-0006-0000-0100-00001F000000}">
      <text>
        <r>
          <rPr>
            <sz val="9"/>
            <color indexed="81"/>
            <rFont val="Tahoma"/>
            <family val="2"/>
          </rPr>
          <t>Deterministic PGA.  User-defined value.</t>
        </r>
      </text>
    </comment>
    <comment ref="F61" authorId="3" shapeId="0" xr:uid="{00000000-0006-0000-0100-000020000000}">
      <text>
        <r>
          <rPr>
            <sz val="9"/>
            <color indexed="81"/>
            <rFont val="Tahoma"/>
            <family val="2"/>
          </rPr>
          <t>This is the distance from the site to the source. To find this distance, review the references tab.</t>
        </r>
      </text>
    </comment>
    <comment ref="J61" authorId="3" shapeId="0" xr:uid="{00000000-0006-0000-0100-000021000000}">
      <text>
        <r>
          <rPr>
            <sz val="9"/>
            <color indexed="81"/>
            <rFont val="Tahoma"/>
            <family val="2"/>
          </rPr>
          <t>This is the percentile of the Newmark slope displacement empirical model (i.e median is the 50th percentile). This value must be provided to perform a deterministic calculation.</t>
        </r>
      </text>
    </comment>
    <comment ref="B62" authorId="0" shapeId="0" xr:uid="{00000000-0006-0000-0100-000022000000}">
      <text>
        <r>
          <rPr>
            <sz val="9"/>
            <color indexed="81"/>
            <rFont val="Tahoma"/>
            <family val="2"/>
          </rPr>
          <t>If the checkbox for automatic calculation of F_pga is checked, this will be filled for you.  Otherwise, you can specify your own value.  See References tab for details.</t>
        </r>
      </text>
    </comment>
    <comment ref="F62" authorId="3" shapeId="0" xr:uid="{00000000-0006-0000-0100-000023000000}">
      <text>
        <r>
          <rPr>
            <sz val="9"/>
            <color indexed="81"/>
            <rFont val="Tahoma"/>
            <family val="2"/>
          </rPr>
          <t>Deterministic moment magnitude assocaited with some percentile value specified below.</t>
        </r>
      </text>
    </comment>
    <comment ref="B63" authorId="0" shapeId="0" xr:uid="{00000000-0006-0000-0100-000024000000}">
      <text>
        <r>
          <rPr>
            <sz val="9"/>
            <color indexed="81"/>
            <rFont val="Tahoma"/>
            <family val="2"/>
          </rPr>
          <t>Deterministic M_w.  User-defined value.</t>
        </r>
      </text>
    </comment>
    <comment ref="F63" authorId="3" shapeId="0" xr:uid="{00000000-0006-0000-0100-000025000000}">
      <text>
        <r>
          <rPr>
            <sz val="9"/>
            <color indexed="81"/>
            <rFont val="Tahoma"/>
            <family val="2"/>
          </rPr>
          <t>This is the percentile of the lateral spread empirical model (i.e median is the 50th percentile). This value must be provided to perform a deterministic calculation.</t>
        </r>
      </text>
    </comment>
    <comment ref="B64" authorId="0" shapeId="0" xr:uid="{00000000-0006-0000-0100-000026000000}">
      <text>
        <r>
          <rPr>
            <sz val="9"/>
            <color indexed="81"/>
            <rFont val="Tahoma"/>
            <family val="2"/>
          </rPr>
          <t>This percentile value is used in the deterministic CSR calculation and is equivalent to (1 - PL).  Enter a number between 1 and 100.
Both Cetin et al. (2004) and Boulanger and Idriss (2012) recommend the 85th-percentile for deterministic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Kristin</author>
  </authors>
  <commentList>
    <comment ref="S9" authorId="0" shapeId="0" xr:uid="{00000000-0006-0000-0300-000001000000}">
      <text>
        <r>
          <rPr>
            <sz val="9"/>
            <color indexed="81"/>
            <rFont val="Tahoma"/>
            <family val="2"/>
          </rPr>
          <t>Nreq is solved iteratively using code built into the "Analyze" button on the Inputs tab.</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Kristin</author>
  </authors>
  <commentList>
    <comment ref="P9" authorId="0" shapeId="0" xr:uid="{00000000-0006-0000-0400-000001000000}">
      <text>
        <r>
          <rPr>
            <sz val="9"/>
            <color indexed="81"/>
            <rFont val="Tahoma"/>
            <family val="2"/>
          </rPr>
          <t>Nreq is solved iteratively using code built into the "Analyze" button on the Inputs tab.</t>
        </r>
      </text>
    </comment>
    <comment ref="G43" authorId="0" shapeId="0" xr:uid="{00000000-0006-0000-0400-000002000000}">
      <text>
        <r>
          <rPr>
            <b/>
            <sz val="9"/>
            <color indexed="81"/>
            <rFont val="Tahoma"/>
            <family val="2"/>
          </rPr>
          <t>Kristin:</t>
        </r>
        <r>
          <rPr>
            <sz val="9"/>
            <color indexed="81"/>
            <rFont val="Tahoma"/>
            <family val="2"/>
          </rPr>
          <t xml:space="preserve">
I changed the formula so it calculated the stress at the sample depth (not the bottom of the layer)</t>
        </r>
      </text>
    </comment>
  </commentList>
</comments>
</file>

<file path=xl/sharedStrings.xml><?xml version="1.0" encoding="utf-8"?>
<sst xmlns="http://schemas.openxmlformats.org/spreadsheetml/2006/main" count="845" uniqueCount="468">
  <si>
    <t>Mapped Value</t>
  </si>
  <si>
    <t>Simplified Method</t>
  </si>
  <si>
    <t>Original Model</t>
  </si>
  <si>
    <t>Company:</t>
  </si>
  <si>
    <t>Date:</t>
  </si>
  <si>
    <t>Checked By:</t>
  </si>
  <si>
    <t>Project Name:</t>
  </si>
  <si>
    <t>Project #:</t>
  </si>
  <si>
    <t>Location:</t>
  </si>
  <si>
    <t>Depth (m):</t>
  </si>
  <si>
    <r>
      <t>(N</t>
    </r>
    <r>
      <rPr>
        <vertAlign val="subscript"/>
        <sz val="11"/>
        <color theme="1"/>
        <rFont val="Calibri"/>
        <family val="2"/>
        <scheme val="minor"/>
      </rPr>
      <t>1</t>
    </r>
    <r>
      <rPr>
        <sz val="12"/>
        <color theme="1"/>
        <rFont val="Times New Roman"/>
        <family val="2"/>
      </rPr>
      <t>)</t>
    </r>
    <r>
      <rPr>
        <vertAlign val="subscript"/>
        <sz val="11"/>
        <color theme="1"/>
        <rFont val="Calibri"/>
        <family val="2"/>
        <scheme val="minor"/>
      </rPr>
      <t>60</t>
    </r>
  </si>
  <si>
    <t>Fines (%)</t>
  </si>
  <si>
    <t>Thickness (m)</t>
  </si>
  <si>
    <t>SPT N</t>
  </si>
  <si>
    <t>Site Characteristics:</t>
  </si>
  <si>
    <t>PGA =</t>
  </si>
  <si>
    <t>Mapped Reference Values:</t>
  </si>
  <si>
    <t>Return Period =</t>
  </si>
  <si>
    <t>Lateral Spread Disp:</t>
  </si>
  <si>
    <t>Analysis Selections:</t>
  </si>
  <si>
    <t>Hammer Efficiency (%) =</t>
  </si>
  <si>
    <t>PGA:</t>
  </si>
  <si>
    <t>g</t>
  </si>
  <si>
    <t>m</t>
  </si>
  <si>
    <t>%</t>
  </si>
  <si>
    <r>
      <t>σ</t>
    </r>
    <r>
      <rPr>
        <vertAlign val="subscript"/>
        <sz val="11"/>
        <color theme="1"/>
        <rFont val="Calibri"/>
        <family val="2"/>
      </rPr>
      <t>ε</t>
    </r>
    <r>
      <rPr>
        <sz val="11"/>
        <color theme="1"/>
        <rFont val="Calibri"/>
        <family val="2"/>
      </rPr>
      <t xml:space="preserve"> :</t>
    </r>
  </si>
  <si>
    <r>
      <t>(N</t>
    </r>
    <r>
      <rPr>
        <vertAlign val="subscript"/>
        <sz val="11"/>
        <color theme="1"/>
        <rFont val="Calibri"/>
        <family val="2"/>
        <scheme val="minor"/>
      </rPr>
      <t>1</t>
    </r>
    <r>
      <rPr>
        <sz val="12"/>
        <color theme="1"/>
        <rFont val="Times New Roman"/>
        <family val="2"/>
      </rPr>
      <t>)</t>
    </r>
    <r>
      <rPr>
        <vertAlign val="subscript"/>
        <sz val="11"/>
        <color theme="1"/>
        <rFont val="Calibri"/>
        <family val="2"/>
        <scheme val="minor"/>
      </rPr>
      <t>60,cs</t>
    </r>
  </si>
  <si>
    <r>
      <t>CSR</t>
    </r>
    <r>
      <rPr>
        <vertAlign val="superscript"/>
        <sz val="11"/>
        <color theme="1"/>
        <rFont val="Calibri"/>
        <family val="2"/>
        <scheme val="minor"/>
      </rPr>
      <t>site</t>
    </r>
  </si>
  <si>
    <r>
      <t>CRR</t>
    </r>
    <r>
      <rPr>
        <vertAlign val="subscript"/>
        <sz val="11"/>
        <color theme="1"/>
        <rFont val="Calibri"/>
        <family val="2"/>
        <scheme val="minor"/>
      </rPr>
      <t>Nsite</t>
    </r>
  </si>
  <si>
    <r>
      <t>FS</t>
    </r>
    <r>
      <rPr>
        <vertAlign val="subscript"/>
        <sz val="11"/>
        <color theme="1"/>
        <rFont val="Calibri"/>
        <family val="2"/>
        <scheme val="minor"/>
      </rPr>
      <t>L</t>
    </r>
  </si>
  <si>
    <r>
      <t>N</t>
    </r>
    <r>
      <rPr>
        <vertAlign val="subscript"/>
        <sz val="11"/>
        <color theme="1"/>
        <rFont val="Calibri"/>
        <family val="2"/>
        <scheme val="minor"/>
      </rPr>
      <t>req</t>
    </r>
    <r>
      <rPr>
        <vertAlign val="superscript"/>
        <sz val="11"/>
        <color theme="1"/>
        <rFont val="Calibri"/>
        <family val="2"/>
        <scheme val="minor"/>
      </rPr>
      <t>site</t>
    </r>
  </si>
  <si>
    <r>
      <t>P</t>
    </r>
    <r>
      <rPr>
        <vertAlign val="subscript"/>
        <sz val="11"/>
        <color theme="1"/>
        <rFont val="Calibri"/>
        <family val="2"/>
        <scheme val="minor"/>
      </rPr>
      <t>L</t>
    </r>
  </si>
  <si>
    <t>m/s</t>
  </si>
  <si>
    <t>Depth:</t>
  </si>
  <si>
    <r>
      <rPr>
        <sz val="11"/>
        <color theme="1"/>
        <rFont val="Symbol"/>
        <family val="1"/>
        <charset val="2"/>
      </rPr>
      <t>D</t>
    </r>
    <r>
      <rPr>
        <sz val="12"/>
        <color theme="1"/>
        <rFont val="Times New Roman"/>
        <family val="2"/>
      </rPr>
      <t>N</t>
    </r>
    <r>
      <rPr>
        <vertAlign val="subscript"/>
        <sz val="11"/>
        <color theme="1"/>
        <rFont val="Symbol"/>
        <family val="1"/>
        <charset val="2"/>
      </rPr>
      <t>s</t>
    </r>
  </si>
  <si>
    <r>
      <rPr>
        <sz val="11"/>
        <color theme="1"/>
        <rFont val="Symbol"/>
        <family val="1"/>
        <charset val="2"/>
      </rPr>
      <t>D</t>
    </r>
    <r>
      <rPr>
        <sz val="12"/>
        <color theme="1"/>
        <rFont val="Times New Roman"/>
        <family val="2"/>
      </rPr>
      <t>N</t>
    </r>
    <r>
      <rPr>
        <vertAlign val="subscript"/>
        <sz val="11"/>
        <color theme="1"/>
        <rFont val="Calibri"/>
        <family val="2"/>
        <scheme val="minor"/>
      </rPr>
      <t>rd</t>
    </r>
  </si>
  <si>
    <r>
      <rPr>
        <sz val="11"/>
        <color theme="1"/>
        <rFont val="Symbol"/>
        <family val="1"/>
        <charset val="2"/>
      </rPr>
      <t>D</t>
    </r>
    <r>
      <rPr>
        <sz val="12"/>
        <color theme="1"/>
        <rFont val="Times New Roman"/>
        <family val="2"/>
      </rPr>
      <t>N</t>
    </r>
    <r>
      <rPr>
        <vertAlign val="subscript"/>
        <sz val="11"/>
        <color theme="1"/>
        <rFont val="Calibri"/>
        <family val="2"/>
        <scheme val="minor"/>
      </rPr>
      <t>F</t>
    </r>
  </si>
  <si>
    <r>
      <rPr>
        <sz val="11"/>
        <color theme="1"/>
        <rFont val="Symbol"/>
        <family val="1"/>
        <charset val="2"/>
      </rPr>
      <t>D</t>
    </r>
    <r>
      <rPr>
        <sz val="12"/>
        <color theme="1"/>
        <rFont val="Times New Roman"/>
        <family val="2"/>
      </rPr>
      <t>N</t>
    </r>
    <r>
      <rPr>
        <vertAlign val="subscript"/>
        <sz val="11"/>
        <color theme="1"/>
        <rFont val="Calibri"/>
        <family val="2"/>
        <scheme val="minor"/>
      </rPr>
      <t>req</t>
    </r>
  </si>
  <si>
    <t>Depth to Water:</t>
  </si>
  <si>
    <r>
      <rPr>
        <sz val="11"/>
        <color theme="1"/>
        <rFont val="Symbol"/>
        <family val="1"/>
        <charset val="2"/>
      </rPr>
      <t>g</t>
    </r>
    <r>
      <rPr>
        <sz val="11"/>
        <color theme="1"/>
        <rFont val="Times New Roman"/>
        <family val="2"/>
      </rPr>
      <t xml:space="preserve"> (kN/m</t>
    </r>
    <r>
      <rPr>
        <vertAlign val="superscript"/>
        <sz val="11"/>
        <color theme="1"/>
        <rFont val="Calibri"/>
        <family val="2"/>
        <scheme val="minor"/>
      </rPr>
      <t>3</t>
    </r>
    <r>
      <rPr>
        <sz val="11"/>
        <color theme="1"/>
        <rFont val="Times New Roman"/>
        <family val="2"/>
      </rPr>
      <t>)</t>
    </r>
  </si>
  <si>
    <t>Percentile =</t>
  </si>
  <si>
    <t>Distance =</t>
  </si>
  <si>
    <t>kPa</t>
  </si>
  <si>
    <t>psf</t>
  </si>
  <si>
    <r>
      <t>(N</t>
    </r>
    <r>
      <rPr>
        <vertAlign val="subscript"/>
        <sz val="11"/>
        <color theme="1"/>
        <rFont val="Calibri"/>
        <family val="2"/>
        <scheme val="minor"/>
      </rPr>
      <t>1</t>
    </r>
    <r>
      <rPr>
        <sz val="11"/>
        <color theme="1"/>
        <rFont val="Times New Roman"/>
        <family val="2"/>
      </rPr>
      <t>)</t>
    </r>
    <r>
      <rPr>
        <vertAlign val="subscript"/>
        <sz val="11"/>
        <color theme="1"/>
        <rFont val="Calibri"/>
        <family val="2"/>
        <scheme val="minor"/>
      </rPr>
      <t>60</t>
    </r>
  </si>
  <si>
    <r>
      <t>(N</t>
    </r>
    <r>
      <rPr>
        <vertAlign val="subscript"/>
        <sz val="11"/>
        <color theme="1"/>
        <rFont val="Calibri"/>
        <family val="2"/>
        <scheme val="minor"/>
      </rPr>
      <t>1</t>
    </r>
    <r>
      <rPr>
        <sz val="11"/>
        <color theme="1"/>
        <rFont val="Times New Roman"/>
        <family val="2"/>
      </rPr>
      <t>)</t>
    </r>
    <r>
      <rPr>
        <vertAlign val="subscript"/>
        <sz val="11"/>
        <color theme="1"/>
        <rFont val="Calibri"/>
        <family val="2"/>
        <scheme val="minor"/>
      </rPr>
      <t>60,cs</t>
    </r>
  </si>
  <si>
    <r>
      <rPr>
        <sz val="11"/>
        <color theme="1"/>
        <rFont val="Symbol"/>
        <family val="1"/>
        <charset val="2"/>
      </rPr>
      <t>s</t>
    </r>
    <r>
      <rPr>
        <vertAlign val="subscript"/>
        <sz val="11"/>
        <color theme="1"/>
        <rFont val="Calibri"/>
        <family val="2"/>
        <scheme val="minor"/>
      </rPr>
      <t>v</t>
    </r>
    <r>
      <rPr>
        <sz val="11"/>
        <color theme="1"/>
        <rFont val="Times New Roman"/>
        <family val="2"/>
      </rPr>
      <t xml:space="preserve"> (kPa)</t>
    </r>
  </si>
  <si>
    <r>
      <rPr>
        <sz val="11"/>
        <color theme="1"/>
        <rFont val="Symbol"/>
        <family val="1"/>
        <charset val="2"/>
      </rPr>
      <t>s</t>
    </r>
    <r>
      <rPr>
        <vertAlign val="subscript"/>
        <sz val="11"/>
        <color theme="1"/>
        <rFont val="Calibri"/>
        <family val="2"/>
        <scheme val="minor"/>
      </rPr>
      <t>v</t>
    </r>
    <r>
      <rPr>
        <sz val="11"/>
        <color theme="1"/>
        <rFont val="Times New Roman"/>
        <family val="2"/>
      </rPr>
      <t>' (kPa)</t>
    </r>
  </si>
  <si>
    <r>
      <rPr>
        <sz val="11"/>
        <color theme="1"/>
        <rFont val="Symbol"/>
        <family val="1"/>
        <charset val="2"/>
      </rPr>
      <t>D</t>
    </r>
    <r>
      <rPr>
        <sz val="11"/>
        <color theme="1"/>
        <rFont val="Times New Roman"/>
        <family val="2"/>
      </rPr>
      <t>CSR</t>
    </r>
  </si>
  <si>
    <r>
      <t>F</t>
    </r>
    <r>
      <rPr>
        <vertAlign val="subscript"/>
        <sz val="11"/>
        <color theme="1"/>
        <rFont val="Calibri"/>
        <family val="2"/>
        <scheme val="minor"/>
      </rPr>
      <t>pga</t>
    </r>
    <r>
      <rPr>
        <sz val="11"/>
        <color theme="1"/>
        <rFont val="Times New Roman"/>
        <family val="2"/>
      </rPr>
      <t>:</t>
    </r>
  </si>
  <si>
    <r>
      <t>M</t>
    </r>
    <r>
      <rPr>
        <vertAlign val="subscript"/>
        <sz val="11"/>
        <color theme="1"/>
        <rFont val="Calibri"/>
        <family val="2"/>
        <scheme val="minor"/>
      </rPr>
      <t>w</t>
    </r>
    <r>
      <rPr>
        <sz val="11"/>
        <color theme="1"/>
        <rFont val="Times New Roman"/>
        <family val="2"/>
      </rPr>
      <t>:</t>
    </r>
  </si>
  <si>
    <r>
      <t>CSR</t>
    </r>
    <r>
      <rPr>
        <vertAlign val="superscript"/>
        <sz val="11"/>
        <color theme="1"/>
        <rFont val="Calibri"/>
        <family val="2"/>
        <scheme val="minor"/>
      </rPr>
      <t>ref</t>
    </r>
    <r>
      <rPr>
        <sz val="11"/>
        <color theme="1"/>
        <rFont val="Times New Roman"/>
        <family val="2"/>
      </rPr>
      <t>:</t>
    </r>
  </si>
  <si>
    <t>Rod Stickup Length =</t>
  </si>
  <si>
    <t>Borehole Diameter [mm]</t>
  </si>
  <si>
    <t>65 - 115 mm</t>
  </si>
  <si>
    <t>150 mm</t>
  </si>
  <si>
    <t>200 mm</t>
  </si>
  <si>
    <r>
      <t>C</t>
    </r>
    <r>
      <rPr>
        <vertAlign val="subscript"/>
        <sz val="11"/>
        <color theme="1"/>
        <rFont val="Times New Roman"/>
        <family val="1"/>
      </rPr>
      <t>N</t>
    </r>
  </si>
  <si>
    <r>
      <t>C</t>
    </r>
    <r>
      <rPr>
        <vertAlign val="subscript"/>
        <sz val="11"/>
        <color theme="1"/>
        <rFont val="Times New Roman"/>
        <family val="1"/>
      </rPr>
      <t>E</t>
    </r>
  </si>
  <si>
    <r>
      <t>C</t>
    </r>
    <r>
      <rPr>
        <vertAlign val="subscript"/>
        <sz val="11"/>
        <color theme="1"/>
        <rFont val="Times New Roman"/>
        <family val="1"/>
      </rPr>
      <t>R</t>
    </r>
  </si>
  <si>
    <r>
      <t>C</t>
    </r>
    <r>
      <rPr>
        <vertAlign val="subscript"/>
        <sz val="11"/>
        <color theme="1"/>
        <rFont val="Times New Roman"/>
        <family val="1"/>
      </rPr>
      <t>B</t>
    </r>
  </si>
  <si>
    <r>
      <t>C</t>
    </r>
    <r>
      <rPr>
        <vertAlign val="subscript"/>
        <sz val="11"/>
        <color theme="1"/>
        <rFont val="Times New Roman"/>
        <family val="1"/>
      </rPr>
      <t>S</t>
    </r>
  </si>
  <si>
    <r>
      <t>(N</t>
    </r>
    <r>
      <rPr>
        <vertAlign val="subscript"/>
        <sz val="11"/>
        <color theme="1"/>
        <rFont val="Times New Roman"/>
        <family val="1"/>
      </rPr>
      <t>1</t>
    </r>
    <r>
      <rPr>
        <sz val="11"/>
        <color theme="1"/>
        <rFont val="Times New Roman"/>
        <family val="2"/>
      </rPr>
      <t>)</t>
    </r>
    <r>
      <rPr>
        <vertAlign val="subscript"/>
        <sz val="11"/>
        <color theme="1"/>
        <rFont val="Times New Roman"/>
        <family val="1"/>
      </rPr>
      <t>60</t>
    </r>
  </si>
  <si>
    <r>
      <t>N</t>
    </r>
    <r>
      <rPr>
        <vertAlign val="subscript"/>
        <sz val="11"/>
        <color theme="1"/>
        <rFont val="Times New Roman"/>
        <family val="1"/>
      </rPr>
      <t>1</t>
    </r>
  </si>
  <si>
    <t>Vs,12 =</t>
  </si>
  <si>
    <r>
      <t>P</t>
    </r>
    <r>
      <rPr>
        <vertAlign val="subscript"/>
        <sz val="11"/>
        <color theme="1"/>
        <rFont val="Times New Roman"/>
        <family val="1"/>
      </rPr>
      <t>a</t>
    </r>
    <r>
      <rPr>
        <sz val="11"/>
        <color theme="1"/>
        <rFont val="Times New Roman"/>
        <family val="2"/>
      </rPr>
      <t xml:space="preserve"> =</t>
    </r>
  </si>
  <si>
    <r>
      <t>N</t>
    </r>
    <r>
      <rPr>
        <vertAlign val="subscript"/>
        <sz val="11"/>
        <color theme="1"/>
        <rFont val="Times New Roman"/>
        <family val="1"/>
      </rPr>
      <t>req</t>
    </r>
    <r>
      <rPr>
        <sz val="11"/>
        <color theme="1"/>
        <rFont val="Times New Roman"/>
        <family val="2"/>
      </rPr>
      <t>:</t>
    </r>
  </si>
  <si>
    <r>
      <t>F</t>
    </r>
    <r>
      <rPr>
        <vertAlign val="subscript"/>
        <sz val="11"/>
        <color theme="1"/>
        <rFont val="Times New Roman"/>
        <family val="1"/>
      </rPr>
      <t>pga</t>
    </r>
    <r>
      <rPr>
        <sz val="11"/>
        <color theme="1"/>
        <rFont val="Times New Roman"/>
        <family val="2"/>
      </rPr>
      <t>:</t>
    </r>
  </si>
  <si>
    <r>
      <t>V</t>
    </r>
    <r>
      <rPr>
        <vertAlign val="subscript"/>
        <sz val="11"/>
        <color theme="1"/>
        <rFont val="Times New Roman"/>
        <family val="1"/>
      </rPr>
      <t>s,12</t>
    </r>
    <r>
      <rPr>
        <sz val="11"/>
        <color theme="1"/>
        <rFont val="Times New Roman"/>
        <family val="2"/>
      </rPr>
      <t>:</t>
    </r>
  </si>
  <si>
    <t>Rod Length [m]</t>
  </si>
  <si>
    <t>&lt; 3</t>
  </si>
  <si>
    <t>3 - 4</t>
  </si>
  <si>
    <t>4 - 6</t>
  </si>
  <si>
    <t>6 - 10</t>
  </si>
  <si>
    <t>10 - 30</t>
  </si>
  <si>
    <t>Borehole Diameter =</t>
  </si>
  <si>
    <t>mm</t>
  </si>
  <si>
    <t>Site Class</t>
  </si>
  <si>
    <r>
      <t xml:space="preserve">Site Amplification Factor, </t>
    </r>
    <r>
      <rPr>
        <i/>
        <sz val="10"/>
        <color rgb="FF000000"/>
        <rFont val="Times New Roman"/>
        <family val="1"/>
      </rPr>
      <t>F</t>
    </r>
    <r>
      <rPr>
        <i/>
        <vertAlign val="subscript"/>
        <sz val="10"/>
        <color rgb="FF000000"/>
        <rFont val="Times New Roman"/>
        <family val="1"/>
      </rPr>
      <t>pga</t>
    </r>
  </si>
  <si>
    <t>PGA(g)&lt;0.10</t>
  </si>
  <si>
    <t>PGA(g)=0.20</t>
  </si>
  <si>
    <t>PGA(g)=0.30</t>
  </si>
  <si>
    <t>PGA(g)=0.40</t>
  </si>
  <si>
    <t>PGA(g)&gt;0.50</t>
  </si>
  <si>
    <t>A</t>
  </si>
  <si>
    <t>B</t>
  </si>
  <si>
    <t>C</t>
  </si>
  <si>
    <t>D</t>
  </si>
  <si>
    <t>E</t>
  </si>
  <si>
    <t>F</t>
  </si>
  <si>
    <t>Site Response Analysis Required</t>
  </si>
  <si>
    <t>CSR(site)</t>
  </si>
  <si>
    <t>Hammer Efficiency =</t>
  </si>
  <si>
    <r>
      <t>M</t>
    </r>
    <r>
      <rPr>
        <vertAlign val="subscript"/>
        <sz val="11"/>
        <color theme="1"/>
        <rFont val="Times New Roman"/>
        <family val="1"/>
      </rPr>
      <t>w</t>
    </r>
    <r>
      <rPr>
        <sz val="11"/>
        <color theme="1"/>
        <rFont val="Times New Roman"/>
        <family val="1"/>
      </rPr>
      <t xml:space="preserve"> =</t>
    </r>
  </si>
  <si>
    <t>Project:</t>
  </si>
  <si>
    <r>
      <rPr>
        <i/>
        <sz val="11"/>
        <color theme="1"/>
        <rFont val="Times New Roman"/>
        <family val="2"/>
      </rPr>
      <t>CSR</t>
    </r>
    <r>
      <rPr>
        <sz val="11"/>
        <color theme="1"/>
        <rFont val="Times New Roman"/>
        <family val="2"/>
      </rPr>
      <t>(%)</t>
    </r>
    <r>
      <rPr>
        <i/>
        <vertAlign val="superscript"/>
        <sz val="11"/>
        <color theme="1"/>
        <rFont val="Times New Roman"/>
        <family val="2"/>
      </rPr>
      <t>ref</t>
    </r>
    <r>
      <rPr>
        <sz val="11"/>
        <color theme="1"/>
        <rFont val="Times New Roman"/>
        <family val="2"/>
      </rPr>
      <t xml:space="preserve"> =</t>
    </r>
  </si>
  <si>
    <r>
      <rPr>
        <i/>
        <sz val="11"/>
        <color theme="1"/>
        <rFont val="Times New Roman"/>
        <family val="2"/>
      </rPr>
      <t>N</t>
    </r>
    <r>
      <rPr>
        <i/>
        <vertAlign val="subscript"/>
        <sz val="11"/>
        <color theme="1"/>
        <rFont val="Times New Roman"/>
        <family val="2"/>
      </rPr>
      <t>req</t>
    </r>
    <r>
      <rPr>
        <i/>
        <vertAlign val="superscript"/>
        <sz val="11"/>
        <color theme="1"/>
        <rFont val="Times New Roman"/>
        <family val="2"/>
      </rPr>
      <t>ref</t>
    </r>
    <r>
      <rPr>
        <sz val="11"/>
        <color theme="1"/>
        <rFont val="Times New Roman"/>
        <family val="2"/>
      </rPr>
      <t xml:space="preserve"> =</t>
    </r>
  </si>
  <si>
    <r>
      <rPr>
        <i/>
        <sz val="11"/>
        <color theme="1"/>
        <rFont val="Times New Roman"/>
        <family val="2"/>
      </rPr>
      <t>T</t>
    </r>
    <r>
      <rPr>
        <i/>
        <vertAlign val="subscript"/>
        <sz val="11"/>
        <color theme="1"/>
        <rFont val="Times New Roman"/>
        <family val="2"/>
      </rPr>
      <t>R</t>
    </r>
    <r>
      <rPr>
        <sz val="11"/>
        <color theme="1"/>
        <rFont val="Times New Roman"/>
        <family val="2"/>
      </rPr>
      <t xml:space="preserve"> =</t>
    </r>
  </si>
  <si>
    <t>Checked by:</t>
  </si>
  <si>
    <t>S =</t>
  </si>
  <si>
    <r>
      <t>F</t>
    </r>
    <r>
      <rPr>
        <vertAlign val="subscript"/>
        <sz val="12"/>
        <color theme="1"/>
        <rFont val="Times New Roman"/>
        <family val="1"/>
      </rPr>
      <t>15</t>
    </r>
    <r>
      <rPr>
        <sz val="12"/>
        <color theme="1"/>
        <rFont val="Times New Roman"/>
        <family val="1"/>
      </rPr>
      <t xml:space="preserve"> =</t>
    </r>
  </si>
  <si>
    <t>W =</t>
  </si>
  <si>
    <r>
      <t>T</t>
    </r>
    <r>
      <rPr>
        <vertAlign val="subscript"/>
        <sz val="12"/>
        <color theme="1"/>
        <rFont val="Times New Roman"/>
        <family val="1"/>
      </rPr>
      <t>15</t>
    </r>
    <r>
      <rPr>
        <sz val="12"/>
        <color theme="1"/>
        <rFont val="Times New Roman"/>
        <family val="1"/>
      </rPr>
      <t xml:space="preserve"> =</t>
    </r>
  </si>
  <si>
    <t>Inputs</t>
  </si>
  <si>
    <t>Regression Coefficients</t>
  </si>
  <si>
    <t>Case:  Free Face / Ground Slope</t>
  </si>
  <si>
    <t>GS</t>
  </si>
  <si>
    <t>FF</t>
  </si>
  <si>
    <r>
      <t>b</t>
    </r>
    <r>
      <rPr>
        <b/>
        <vertAlign val="subscript"/>
        <sz val="11"/>
        <color theme="1"/>
        <rFont val="Times New Roman"/>
        <family val="1"/>
      </rPr>
      <t>0</t>
    </r>
  </si>
  <si>
    <r>
      <t>b</t>
    </r>
    <r>
      <rPr>
        <b/>
        <vertAlign val="subscript"/>
        <sz val="11"/>
        <color theme="1"/>
        <rFont val="Times New Roman"/>
        <family val="1"/>
      </rPr>
      <t>1</t>
    </r>
  </si>
  <si>
    <r>
      <t>b</t>
    </r>
    <r>
      <rPr>
        <b/>
        <vertAlign val="subscript"/>
        <sz val="11"/>
        <color theme="1"/>
        <rFont val="Times New Roman"/>
        <family val="1"/>
      </rPr>
      <t>2</t>
    </r>
  </si>
  <si>
    <r>
      <t>b</t>
    </r>
    <r>
      <rPr>
        <b/>
        <vertAlign val="subscript"/>
        <sz val="11"/>
        <color theme="1"/>
        <rFont val="Times New Roman"/>
        <family val="1"/>
      </rPr>
      <t>3</t>
    </r>
    <r>
      <rPr>
        <sz val="12"/>
        <color theme="1"/>
        <rFont val="Times New Roman"/>
        <family val="2"/>
      </rPr>
      <t/>
    </r>
  </si>
  <si>
    <r>
      <t>b</t>
    </r>
    <r>
      <rPr>
        <b/>
        <vertAlign val="subscript"/>
        <sz val="11"/>
        <color theme="1"/>
        <rFont val="Times New Roman"/>
        <family val="1"/>
      </rPr>
      <t>4</t>
    </r>
  </si>
  <si>
    <r>
      <t>b</t>
    </r>
    <r>
      <rPr>
        <b/>
        <vertAlign val="subscript"/>
        <sz val="11"/>
        <color theme="1"/>
        <rFont val="Times New Roman"/>
        <family val="1"/>
      </rPr>
      <t>5</t>
    </r>
  </si>
  <si>
    <t>Mapped Value:</t>
  </si>
  <si>
    <r>
      <t>b</t>
    </r>
    <r>
      <rPr>
        <b/>
        <vertAlign val="subscript"/>
        <sz val="11"/>
        <color theme="1"/>
        <rFont val="Times New Roman"/>
        <family val="1"/>
      </rPr>
      <t>6</t>
    </r>
    <r>
      <rPr>
        <sz val="12"/>
        <color theme="1"/>
        <rFont val="Times New Roman"/>
        <family val="2"/>
      </rPr>
      <t/>
    </r>
  </si>
  <si>
    <r>
      <t>Log D</t>
    </r>
    <r>
      <rPr>
        <vertAlign val="subscript"/>
        <sz val="12"/>
        <color theme="1"/>
        <rFont val="Times New Roman"/>
        <family val="1"/>
      </rPr>
      <t>h</t>
    </r>
    <r>
      <rPr>
        <vertAlign val="superscript"/>
        <sz val="12"/>
        <color theme="1"/>
        <rFont val="Times New Roman"/>
        <family val="1"/>
      </rPr>
      <t>ref</t>
    </r>
    <r>
      <rPr>
        <sz val="12"/>
        <color theme="1"/>
        <rFont val="Times New Roman"/>
        <family val="1"/>
      </rPr>
      <t xml:space="preserve"> =</t>
    </r>
  </si>
  <si>
    <r>
      <t>b</t>
    </r>
    <r>
      <rPr>
        <b/>
        <vertAlign val="subscript"/>
        <sz val="11"/>
        <color theme="1"/>
        <rFont val="Times New Roman"/>
        <family val="1"/>
      </rPr>
      <t>7</t>
    </r>
    <r>
      <rPr>
        <sz val="12"/>
        <color theme="1"/>
        <rFont val="Times New Roman"/>
        <family val="2"/>
      </rPr>
      <t/>
    </r>
  </si>
  <si>
    <r>
      <t>b</t>
    </r>
    <r>
      <rPr>
        <b/>
        <vertAlign val="subscript"/>
        <sz val="11"/>
        <color theme="1"/>
        <rFont val="Times New Roman"/>
        <family val="1"/>
      </rPr>
      <t>8</t>
    </r>
    <r>
      <rPr>
        <sz val="12"/>
        <color theme="1"/>
        <rFont val="Times New Roman"/>
        <family val="2"/>
      </rPr>
      <t/>
    </r>
  </si>
  <si>
    <t>Deterministic Method</t>
  </si>
  <si>
    <t>M =</t>
  </si>
  <si>
    <t>R =</t>
  </si>
  <si>
    <t>km</t>
  </si>
  <si>
    <t>Simplified Model Results</t>
  </si>
  <si>
    <t>Deterministic Results</t>
  </si>
  <si>
    <r>
      <t>ΔD</t>
    </r>
    <r>
      <rPr>
        <vertAlign val="subscript"/>
        <sz val="12"/>
        <color theme="1"/>
        <rFont val="Times New Roman"/>
        <family val="1"/>
      </rPr>
      <t>h</t>
    </r>
    <r>
      <rPr>
        <sz val="12"/>
        <color theme="1"/>
        <rFont val="Times New Roman"/>
        <family val="1"/>
      </rPr>
      <t xml:space="preserve"> =</t>
    </r>
  </si>
  <si>
    <r>
      <t xml:space="preserve"> D</t>
    </r>
    <r>
      <rPr>
        <vertAlign val="subscript"/>
        <sz val="12"/>
        <color theme="1"/>
        <rFont val="Times New Roman"/>
        <family val="1"/>
      </rPr>
      <t>h</t>
    </r>
    <r>
      <rPr>
        <vertAlign val="superscript"/>
        <sz val="12"/>
        <color theme="1"/>
        <rFont val="Times New Roman"/>
        <family val="1"/>
      </rPr>
      <t>site</t>
    </r>
    <r>
      <rPr>
        <sz val="12"/>
        <color theme="1"/>
        <rFont val="Times New Roman"/>
        <family val="1"/>
      </rPr>
      <t xml:space="preserve"> =</t>
    </r>
  </si>
  <si>
    <r>
      <t>T</t>
    </r>
    <r>
      <rPr>
        <vertAlign val="subscript"/>
        <sz val="11"/>
        <color theme="1"/>
        <rFont val="Times New Roman"/>
        <family val="2"/>
      </rPr>
      <t>15</t>
    </r>
    <r>
      <rPr>
        <sz val="11"/>
        <color theme="1"/>
        <rFont val="Times New Roman"/>
        <family val="2"/>
      </rPr>
      <t xml:space="preserve"> =</t>
    </r>
  </si>
  <si>
    <r>
      <t>F</t>
    </r>
    <r>
      <rPr>
        <vertAlign val="subscript"/>
        <sz val="11"/>
        <color theme="1"/>
        <rFont val="Times New Roman"/>
        <family val="2"/>
      </rPr>
      <t>15</t>
    </r>
    <r>
      <rPr>
        <sz val="11"/>
        <color theme="1"/>
        <rFont val="Times New Roman"/>
        <family val="2"/>
      </rPr>
      <t xml:space="preserve"> =</t>
    </r>
  </si>
  <si>
    <r>
      <t>D</t>
    </r>
    <r>
      <rPr>
        <vertAlign val="subscript"/>
        <sz val="11"/>
        <color theme="1"/>
        <rFont val="Times New Roman"/>
        <family val="2"/>
      </rPr>
      <t>50</t>
    </r>
    <r>
      <rPr>
        <sz val="11"/>
        <color theme="1"/>
        <rFont val="Times New Roman"/>
        <family val="2"/>
      </rPr>
      <t xml:space="preserve"> =</t>
    </r>
  </si>
  <si>
    <t>Lateral Spread Displacement Results:</t>
  </si>
  <si>
    <r>
      <t>T</t>
    </r>
    <r>
      <rPr>
        <vertAlign val="subscript"/>
        <sz val="11"/>
        <color theme="1"/>
        <rFont val="Times New Roman"/>
        <family val="1"/>
      </rPr>
      <t>15</t>
    </r>
    <r>
      <rPr>
        <sz val="11"/>
        <color theme="1"/>
        <rFont val="Times New Roman"/>
        <family val="1"/>
      </rPr>
      <t xml:space="preserve"> =</t>
    </r>
  </si>
  <si>
    <r>
      <t>F</t>
    </r>
    <r>
      <rPr>
        <vertAlign val="subscript"/>
        <sz val="11"/>
        <color theme="1"/>
        <rFont val="Times New Roman"/>
        <family val="1"/>
      </rPr>
      <t>15</t>
    </r>
    <r>
      <rPr>
        <sz val="11"/>
        <color theme="1"/>
        <rFont val="Times New Roman"/>
        <family val="1"/>
      </rPr>
      <t xml:space="preserve"> =</t>
    </r>
  </si>
  <si>
    <r>
      <rPr>
        <i/>
        <sz val="11"/>
        <color theme="1"/>
        <rFont val="Times New Roman"/>
        <family val="1"/>
      </rPr>
      <t>CSR</t>
    </r>
    <r>
      <rPr>
        <sz val="11"/>
        <color theme="1"/>
        <rFont val="Times New Roman"/>
        <family val="1"/>
      </rPr>
      <t>(%)</t>
    </r>
    <r>
      <rPr>
        <i/>
        <vertAlign val="superscript"/>
        <sz val="11"/>
        <color theme="1"/>
        <rFont val="Times New Roman"/>
        <family val="1"/>
      </rPr>
      <t>ref</t>
    </r>
    <r>
      <rPr>
        <sz val="11"/>
        <color theme="1"/>
        <rFont val="Times New Roman"/>
        <family val="1"/>
      </rPr>
      <t xml:space="preserve"> =</t>
    </r>
  </si>
  <si>
    <r>
      <t>Log D</t>
    </r>
    <r>
      <rPr>
        <i/>
        <vertAlign val="subscript"/>
        <sz val="11"/>
        <color theme="1"/>
        <rFont val="Times New Roman"/>
        <family val="1"/>
      </rPr>
      <t>h</t>
    </r>
    <r>
      <rPr>
        <i/>
        <vertAlign val="superscript"/>
        <sz val="11"/>
        <color theme="1"/>
        <rFont val="Times New Roman"/>
        <family val="1"/>
      </rPr>
      <t>ref</t>
    </r>
    <r>
      <rPr>
        <i/>
        <sz val="11"/>
        <color theme="1"/>
        <rFont val="Times New Roman"/>
        <family val="1"/>
      </rPr>
      <t xml:space="preserve"> </t>
    </r>
    <r>
      <rPr>
        <sz val="11"/>
        <color theme="1"/>
        <rFont val="Times New Roman"/>
        <family val="1"/>
      </rPr>
      <t>=</t>
    </r>
  </si>
  <si>
    <r>
      <rPr>
        <i/>
        <sz val="11"/>
        <color theme="1"/>
        <rFont val="Times New Roman"/>
        <family val="1"/>
      </rPr>
      <t>N</t>
    </r>
    <r>
      <rPr>
        <i/>
        <vertAlign val="subscript"/>
        <sz val="11"/>
        <color theme="1"/>
        <rFont val="Times New Roman"/>
        <family val="1"/>
      </rPr>
      <t>req</t>
    </r>
    <r>
      <rPr>
        <i/>
        <vertAlign val="superscript"/>
        <sz val="11"/>
        <color theme="1"/>
        <rFont val="Times New Roman"/>
        <family val="1"/>
      </rPr>
      <t>ref</t>
    </r>
    <r>
      <rPr>
        <sz val="11"/>
        <color theme="1"/>
        <rFont val="Times New Roman"/>
        <family val="1"/>
      </rPr>
      <t xml:space="preserve"> =</t>
    </r>
  </si>
  <si>
    <t>Simplified Performance-based Liquefaction Triggering using Boulanger &amp; Idriss (2012)</t>
  </si>
  <si>
    <t>Site Class =</t>
  </si>
  <si>
    <t>Checked:</t>
  </si>
  <si>
    <t>Rod L (m)</t>
  </si>
  <si>
    <t>C_R (EQ)</t>
  </si>
  <si>
    <t>C_R (EST)</t>
  </si>
  <si>
    <t>CRR</t>
  </si>
  <si>
    <t>Idriss and Boulanger (2008, 2012)</t>
  </si>
  <si>
    <t>Cetin et al. (2004)</t>
  </si>
  <si>
    <t>Settle</t>
  </si>
  <si>
    <t>Deterministic Analysis Parameters:</t>
  </si>
  <si>
    <r>
      <t xml:space="preserve">*Note: The governing value is the </t>
    </r>
    <r>
      <rPr>
        <i/>
        <sz val="10"/>
        <color theme="1"/>
        <rFont val="Times New Roman"/>
        <family val="2"/>
      </rPr>
      <t>lower</t>
    </r>
    <r>
      <rPr>
        <sz val="10"/>
        <color theme="1"/>
        <rFont val="Times New Roman"/>
        <family val="2"/>
      </rPr>
      <t xml:space="preserve"> value between the simplified performance-based and deterministic results</t>
    </r>
  </si>
  <si>
    <t>Deterministic Triggering using Cetin et al. (2004)</t>
  </si>
  <si>
    <t>Simplified Performance-based Liquefaction Triggering using Cetin et al. (2004), after Mayfield et al. (2010)</t>
  </si>
  <si>
    <r>
      <t>Idriss and Boulanger (2008) (N</t>
    </r>
    <r>
      <rPr>
        <b/>
        <vertAlign val="subscript"/>
        <sz val="11"/>
        <color theme="1"/>
        <rFont val="Times New Roman"/>
        <family val="1"/>
      </rPr>
      <t>1</t>
    </r>
    <r>
      <rPr>
        <b/>
        <sz val="11"/>
        <color theme="1"/>
        <rFont val="Times New Roman"/>
        <family val="1"/>
      </rPr>
      <t>)</t>
    </r>
    <r>
      <rPr>
        <b/>
        <vertAlign val="subscript"/>
        <sz val="11"/>
        <color theme="1"/>
        <rFont val="Times New Roman"/>
        <family val="1"/>
      </rPr>
      <t>60</t>
    </r>
    <r>
      <rPr>
        <b/>
        <sz val="11"/>
        <color theme="1"/>
        <rFont val="Times New Roman"/>
        <family val="1"/>
      </rPr>
      <t xml:space="preserve"> Corrections</t>
    </r>
  </si>
  <si>
    <r>
      <t>M</t>
    </r>
    <r>
      <rPr>
        <vertAlign val="subscript"/>
        <sz val="11"/>
        <color theme="1"/>
        <rFont val="Times New Roman"/>
        <family val="1"/>
      </rPr>
      <t>w</t>
    </r>
    <r>
      <rPr>
        <sz val="11"/>
        <color theme="1"/>
        <rFont val="Times New Roman"/>
        <family val="2"/>
      </rPr>
      <t>:</t>
    </r>
  </si>
  <si>
    <r>
      <t>r</t>
    </r>
    <r>
      <rPr>
        <vertAlign val="subscript"/>
        <sz val="11"/>
        <color theme="1"/>
        <rFont val="Times New Roman"/>
        <family val="1"/>
      </rPr>
      <t>d</t>
    </r>
  </si>
  <si>
    <r>
      <t>a</t>
    </r>
    <r>
      <rPr>
        <vertAlign val="subscript"/>
        <sz val="12"/>
        <color theme="1"/>
        <rFont val="Times New Roman"/>
        <family val="1"/>
      </rPr>
      <t>max</t>
    </r>
    <r>
      <rPr>
        <sz val="12"/>
        <color theme="1"/>
        <rFont val="Times New Roman"/>
        <family val="2"/>
      </rPr>
      <t xml:space="preserve"> =</t>
    </r>
  </si>
  <si>
    <t>MSF</t>
  </si>
  <si>
    <t>α</t>
  </si>
  <si>
    <t>β</t>
  </si>
  <si>
    <r>
      <t>(N</t>
    </r>
    <r>
      <rPr>
        <vertAlign val="subscript"/>
        <sz val="11"/>
        <color theme="1"/>
        <rFont val="Times New Roman"/>
        <family val="1"/>
      </rPr>
      <t>1</t>
    </r>
    <r>
      <rPr>
        <sz val="11"/>
        <color theme="1"/>
        <rFont val="Times New Roman"/>
        <family val="2"/>
      </rPr>
      <t>)</t>
    </r>
    <r>
      <rPr>
        <vertAlign val="subscript"/>
        <sz val="11"/>
        <color theme="1"/>
        <rFont val="Times New Roman"/>
        <family val="1"/>
      </rPr>
      <t>60 (Copy)</t>
    </r>
  </si>
  <si>
    <r>
      <t>(N</t>
    </r>
    <r>
      <rPr>
        <vertAlign val="subscript"/>
        <sz val="11"/>
        <color theme="1"/>
        <rFont val="Times New Roman"/>
        <family val="1"/>
      </rPr>
      <t>1</t>
    </r>
    <r>
      <rPr>
        <sz val="11"/>
        <color theme="1"/>
        <rFont val="Times New Roman"/>
        <family val="2"/>
      </rPr>
      <t>)</t>
    </r>
    <r>
      <rPr>
        <vertAlign val="subscript"/>
        <sz val="11"/>
        <color theme="1"/>
        <rFont val="Times New Roman"/>
        <family val="1"/>
      </rPr>
      <t>60 (copy)</t>
    </r>
  </si>
  <si>
    <r>
      <t>F</t>
    </r>
    <r>
      <rPr>
        <vertAlign val="subscript"/>
        <sz val="12"/>
        <color theme="1"/>
        <rFont val="Times New Roman"/>
        <family val="1"/>
      </rPr>
      <t>PGA</t>
    </r>
    <r>
      <rPr>
        <sz val="12"/>
        <color theme="1"/>
        <rFont val="Times New Roman"/>
        <family val="2"/>
      </rPr>
      <t xml:space="preserve"> =</t>
    </r>
  </si>
  <si>
    <t>Units:</t>
  </si>
  <si>
    <r>
      <t>C</t>
    </r>
    <r>
      <rPr>
        <vertAlign val="subscript"/>
        <sz val="11"/>
        <color theme="1"/>
        <rFont val="Times New Roman"/>
        <family val="1"/>
      </rPr>
      <t>sig</t>
    </r>
  </si>
  <si>
    <r>
      <t>K</t>
    </r>
    <r>
      <rPr>
        <vertAlign val="subscript"/>
        <sz val="12"/>
        <color theme="1"/>
        <rFont val="Times New Roman"/>
        <family val="1"/>
      </rPr>
      <t>sig</t>
    </r>
  </si>
  <si>
    <t>Start Here --&gt;</t>
  </si>
  <si>
    <t>From AASHTO LRFD Bridge Design Specifications (2007):</t>
  </si>
  <si>
    <t>*For Site Class definitions, see below</t>
  </si>
  <si>
    <r>
      <t>Site Amplification Factors (F</t>
    </r>
    <r>
      <rPr>
        <b/>
        <vertAlign val="subscript"/>
        <sz val="12"/>
        <color theme="1"/>
        <rFont val="Times New Roman"/>
        <family val="1"/>
      </rPr>
      <t>pga</t>
    </r>
    <r>
      <rPr>
        <b/>
        <sz val="12"/>
        <color theme="1"/>
        <rFont val="Times New Roman"/>
        <family val="1"/>
      </rPr>
      <t>):</t>
    </r>
  </si>
  <si>
    <t xml:space="preserve">*For intermediate PGA values, interpolate linearly </t>
  </si>
  <si>
    <t>Site Class Definitions:</t>
  </si>
  <si>
    <t>Liquefaction Initiation / Settlement</t>
  </si>
  <si>
    <t>Lateral Spread Displacement</t>
  </si>
  <si>
    <t>Technical References:</t>
  </si>
  <si>
    <t>Exceedance Probability</t>
  </si>
  <si>
    <t>Return Period</t>
  </si>
  <si>
    <t>Percent</t>
  </si>
  <si>
    <t>Years</t>
  </si>
  <si>
    <t>1,039 (1,033)</t>
  </si>
  <si>
    <t>2 (7)</t>
  </si>
  <si>
    <t>21 (75)</t>
  </si>
  <si>
    <t>Convert between Return Period and Exceedance Probability:</t>
  </si>
  <si>
    <r>
      <rPr>
        <sz val="12"/>
        <color theme="1"/>
        <rFont val="Times New Roman"/>
        <family val="1"/>
      </rPr>
      <t>Brigham Young University</t>
    </r>
    <r>
      <rPr>
        <sz val="10"/>
        <color theme="1"/>
        <rFont val="Times New Roman"/>
        <family val="2"/>
      </rPr>
      <t xml:space="preserve">
With special recognition to sponsors through TPF-5(296)</t>
    </r>
  </si>
  <si>
    <t>How to Turn on Iterative Calculations:</t>
  </si>
  <si>
    <t>Liquefaction Initiation Parameters (Performance-Based):</t>
  </si>
  <si>
    <t>Site Geometry:</t>
  </si>
  <si>
    <t>Lateral Spread Parameters (Youd et al 2002 Model):</t>
  </si>
  <si>
    <t>Recommended range of parameter values:</t>
  </si>
  <si>
    <t>Source to Site Distance:</t>
  </si>
  <si>
    <t xml:space="preserve">R is the nearest horizontal map distance from the site to the seismic energy source. </t>
  </si>
  <si>
    <r>
      <t>D50</t>
    </r>
    <r>
      <rPr>
        <vertAlign val="subscript"/>
        <sz val="11"/>
        <color theme="1"/>
        <rFont val="Times New Roman"/>
        <family val="1"/>
      </rPr>
      <t>15</t>
    </r>
    <r>
      <rPr>
        <sz val="11"/>
        <color theme="1"/>
        <rFont val="Times New Roman"/>
        <family val="1"/>
      </rPr>
      <t xml:space="preserve"> =</t>
    </r>
  </si>
  <si>
    <r>
      <t>D</t>
    </r>
    <r>
      <rPr>
        <sz val="12"/>
        <color theme="1"/>
        <rFont val="Times New Roman"/>
        <family val="1"/>
      </rPr>
      <t>50</t>
    </r>
    <r>
      <rPr>
        <vertAlign val="subscript"/>
        <sz val="12"/>
        <color theme="1"/>
        <rFont val="Times New Roman"/>
        <family val="1"/>
      </rPr>
      <t>15</t>
    </r>
    <r>
      <rPr>
        <sz val="12"/>
        <color theme="1"/>
        <rFont val="Times New Roman"/>
        <family val="1"/>
      </rPr>
      <t xml:space="preserve"> =</t>
    </r>
  </si>
  <si>
    <t>Liq. Initiation/Settlement:</t>
  </si>
  <si>
    <t>(1 = SI, 2 = US Customary)</t>
  </si>
  <si>
    <t>Units</t>
  </si>
  <si>
    <t>FPGA</t>
  </si>
  <si>
    <t>No Liners</t>
  </si>
  <si>
    <t>F_PGA Choice</t>
  </si>
  <si>
    <t>Cetin:</t>
  </si>
  <si>
    <t>Method Selection</t>
  </si>
  <si>
    <t>Lateral Spread:</t>
  </si>
  <si>
    <t>Site Liquefaction Parameters:</t>
  </si>
  <si>
    <t>Site Lateral Spread Parameters:</t>
  </si>
  <si>
    <t>= General</t>
  </si>
  <si>
    <t>= Liquefaction-specific</t>
  </si>
  <si>
    <t>FF/GS Option</t>
  </si>
  <si>
    <t>FF = Free Face 
GS = Ground Slope</t>
  </si>
  <si>
    <t>= Lateral Spread-specific</t>
  </si>
  <si>
    <r>
      <t>P</t>
    </r>
    <r>
      <rPr>
        <vertAlign val="subscript"/>
        <sz val="11"/>
        <color theme="1"/>
        <rFont val="Times New Roman"/>
        <family val="1"/>
      </rPr>
      <t>L</t>
    </r>
    <r>
      <rPr>
        <sz val="11"/>
        <color theme="1"/>
        <rFont val="Times New Roman"/>
        <family val="2"/>
      </rPr>
      <t>/FS</t>
    </r>
    <r>
      <rPr>
        <vertAlign val="subscript"/>
        <sz val="11"/>
        <color theme="1"/>
        <rFont val="Times New Roman"/>
        <family val="1"/>
      </rPr>
      <t>L</t>
    </r>
    <r>
      <rPr>
        <sz val="11"/>
        <color theme="1"/>
        <rFont val="Times New Roman"/>
        <family val="2"/>
      </rPr>
      <t>:</t>
    </r>
  </si>
  <si>
    <t>PL/FSL Option</t>
  </si>
  <si>
    <t>PL</t>
  </si>
  <si>
    <t>FSL</t>
  </si>
  <si>
    <r>
      <t>K</t>
    </r>
    <r>
      <rPr>
        <vertAlign val="subscript"/>
        <sz val="11"/>
        <color theme="1"/>
        <rFont val="Times New Roman"/>
        <family val="1"/>
      </rPr>
      <t>DR(aging)</t>
    </r>
  </si>
  <si>
    <r>
      <t>K</t>
    </r>
    <r>
      <rPr>
        <vertAlign val="subscript"/>
        <sz val="11"/>
        <color theme="1"/>
        <rFont val="Times New Roman"/>
        <family val="1"/>
      </rPr>
      <t>DR</t>
    </r>
  </si>
  <si>
    <r>
      <t>(</t>
    </r>
    <r>
      <rPr>
        <i/>
        <sz val="11"/>
        <color theme="1"/>
        <rFont val="Times New Roman"/>
        <family val="1"/>
      </rPr>
      <t>N</t>
    </r>
    <r>
      <rPr>
        <vertAlign val="subscript"/>
        <sz val="11"/>
        <color theme="1"/>
        <rFont val="Times New Roman"/>
        <family val="1"/>
      </rPr>
      <t>1</t>
    </r>
    <r>
      <rPr>
        <sz val="11"/>
        <color theme="1"/>
        <rFont val="Times New Roman"/>
        <family val="1"/>
      </rPr>
      <t>)</t>
    </r>
    <r>
      <rPr>
        <vertAlign val="subscript"/>
        <sz val="11"/>
        <color theme="1"/>
        <rFont val="Times New Roman"/>
        <family val="1"/>
      </rPr>
      <t>60,cs</t>
    </r>
  </si>
  <si>
    <r>
      <t>N</t>
    </r>
    <r>
      <rPr>
        <i/>
        <vertAlign val="subscript"/>
        <sz val="11"/>
        <color theme="1"/>
        <rFont val="Times New Roman"/>
        <family val="1"/>
      </rPr>
      <t>req</t>
    </r>
    <r>
      <rPr>
        <i/>
        <vertAlign val="superscript"/>
        <sz val="11"/>
        <color theme="1"/>
        <rFont val="Times New Roman"/>
        <family val="1"/>
      </rPr>
      <t>site</t>
    </r>
  </si>
  <si>
    <r>
      <t>CSR</t>
    </r>
    <r>
      <rPr>
        <i/>
        <vertAlign val="superscript"/>
        <sz val="11"/>
        <color theme="1"/>
        <rFont val="Times New Roman"/>
        <family val="1"/>
      </rPr>
      <t>site</t>
    </r>
  </si>
  <si>
    <t>NL</t>
  </si>
  <si>
    <t>L</t>
  </si>
  <si>
    <t>Compatible with Excel 2010 and more recent versions</t>
  </si>
  <si>
    <r>
      <t>1 = Calculate F</t>
    </r>
    <r>
      <rPr>
        <vertAlign val="subscript"/>
        <sz val="10"/>
        <color theme="1"/>
        <rFont val="Times New Roman"/>
        <family val="2"/>
      </rPr>
      <t>PGA</t>
    </r>
    <r>
      <rPr>
        <sz val="10"/>
        <color theme="1"/>
        <rFont val="Times New Roman"/>
        <family val="2"/>
      </rPr>
      <t xml:space="preserve"> automatically
</t>
    </r>
  </si>
  <si>
    <r>
      <t>2 = User-defined F</t>
    </r>
    <r>
      <rPr>
        <vertAlign val="subscript"/>
        <sz val="10"/>
        <color theme="1"/>
        <rFont val="Times New Roman"/>
        <family val="2"/>
      </rPr>
      <t>PGA</t>
    </r>
    <r>
      <rPr>
        <sz val="10"/>
        <color theme="1"/>
        <rFont val="Times New Roman"/>
        <family val="2"/>
      </rPr>
      <t xml:space="preserve"> value entered in box above</t>
    </r>
  </si>
  <si>
    <t>Hammer Efficiency (%)</t>
  </si>
  <si>
    <t>Borehole Diameter</t>
  </si>
  <si>
    <t>Rod Stickup Length</t>
  </si>
  <si>
    <t>Summary of Inputs for Lateral Spread Analysis:</t>
  </si>
  <si>
    <t>Site Characteristics</t>
  </si>
  <si>
    <t>Sampler Type</t>
  </si>
  <si>
    <t>Soil Type</t>
  </si>
  <si>
    <t>Liquefiable?</t>
  </si>
  <si>
    <t>Yes</t>
  </si>
  <si>
    <t>No</t>
  </si>
  <si>
    <r>
      <t>K</t>
    </r>
    <r>
      <rPr>
        <vertAlign val="subscript"/>
        <sz val="11"/>
        <color theme="1"/>
        <rFont val="Times New Roman"/>
        <family val="2"/>
      </rPr>
      <t>DR</t>
    </r>
  </si>
  <si>
    <t>Inputs for Deterministic Analysis</t>
  </si>
  <si>
    <t>Simplified PB Results:</t>
  </si>
  <si>
    <t>Deterministic Results:</t>
  </si>
  <si>
    <t>Susceptible?</t>
  </si>
  <si>
    <t>P_L/FS_L</t>
  </si>
  <si>
    <t>(Step-wise Plot)</t>
  </si>
  <si>
    <t>P_L 50% line:</t>
  </si>
  <si>
    <t>Depth</t>
  </si>
  <si>
    <t>P_L</t>
  </si>
  <si>
    <t>FS = 1 line:</t>
  </si>
  <si>
    <t>FS_L</t>
  </si>
  <si>
    <t>Simplified PB</t>
  </si>
  <si>
    <t>Deterministic</t>
  </si>
  <si>
    <t>Mapped Reference Value</t>
  </si>
  <si>
    <r>
      <t>M</t>
    </r>
    <r>
      <rPr>
        <vertAlign val="subscript"/>
        <sz val="12"/>
        <color theme="1"/>
        <rFont val="Times New Roman"/>
        <family val="1"/>
      </rPr>
      <t>w</t>
    </r>
    <r>
      <rPr>
        <sz val="12"/>
        <color theme="1"/>
        <rFont val="Times New Roman"/>
        <family val="2"/>
      </rPr>
      <t xml:space="preserve"> =</t>
    </r>
  </si>
  <si>
    <t>Summary of Inputs for Liquefaction Initiation:</t>
  </si>
  <si>
    <r>
      <t>D</t>
    </r>
    <r>
      <rPr>
        <vertAlign val="subscript"/>
        <sz val="12"/>
        <color theme="1"/>
        <rFont val="Times New Roman"/>
        <family val="1"/>
      </rPr>
      <t>h</t>
    </r>
    <r>
      <rPr>
        <sz val="12"/>
        <color theme="1"/>
        <rFont val="Times New Roman"/>
        <family val="1"/>
      </rPr>
      <t xml:space="preserve"> =</t>
    </r>
  </si>
  <si>
    <t>[SM]_Silty_sand</t>
  </si>
  <si>
    <t>Simplified Performance-based Settlement using Ishihara &amp; Yoshimine (1992)</t>
  </si>
  <si>
    <t>Depth (m)</t>
  </si>
  <si>
    <r>
      <t>CRR(N</t>
    </r>
    <r>
      <rPr>
        <vertAlign val="superscript"/>
        <sz val="11"/>
        <color theme="1"/>
        <rFont val="Times New Roman"/>
        <family val="1"/>
      </rPr>
      <t>site</t>
    </r>
    <r>
      <rPr>
        <sz val="11"/>
        <color theme="1"/>
        <rFont val="Times New Roman"/>
        <family val="1"/>
      </rPr>
      <t>)</t>
    </r>
  </si>
  <si>
    <r>
      <t>CSR</t>
    </r>
    <r>
      <rPr>
        <vertAlign val="superscript"/>
        <sz val="11"/>
        <color theme="1"/>
        <rFont val="Times New Roman"/>
        <family val="1"/>
      </rPr>
      <t>site</t>
    </r>
  </si>
  <si>
    <t>Δε</t>
  </si>
  <si>
    <r>
      <t>ε</t>
    </r>
    <r>
      <rPr>
        <vertAlign val="subscript"/>
        <sz val="11"/>
        <color theme="1"/>
        <rFont val="Times New Roman"/>
        <family val="1"/>
      </rPr>
      <t>v</t>
    </r>
    <r>
      <rPr>
        <vertAlign val="superscript"/>
        <sz val="11"/>
        <color theme="1"/>
        <rFont val="Times New Roman"/>
        <family val="1"/>
      </rPr>
      <t>site</t>
    </r>
  </si>
  <si>
    <r>
      <t>ε</t>
    </r>
    <r>
      <rPr>
        <vertAlign val="subscript"/>
        <sz val="11"/>
        <color theme="1"/>
        <rFont val="Times New Roman"/>
        <family val="1"/>
      </rPr>
      <t>v,approx.</t>
    </r>
    <r>
      <rPr>
        <vertAlign val="superscript"/>
        <sz val="11"/>
        <color theme="1"/>
        <rFont val="Times New Roman"/>
        <family val="1"/>
      </rPr>
      <t>site</t>
    </r>
  </si>
  <si>
    <r>
      <t>CSR</t>
    </r>
    <r>
      <rPr>
        <i/>
        <vertAlign val="superscript"/>
        <sz val="11"/>
        <color theme="1"/>
        <rFont val="Times New Roman"/>
        <family val="1"/>
      </rPr>
      <t>ref</t>
    </r>
  </si>
  <si>
    <r>
      <t>CSR</t>
    </r>
    <r>
      <rPr>
        <i/>
        <vertAlign val="superscript"/>
        <sz val="11"/>
        <color theme="1"/>
        <rFont val="Times New Roman"/>
        <family val="1"/>
      </rPr>
      <t>ref</t>
    </r>
    <r>
      <rPr>
        <i/>
        <sz val="11"/>
        <color theme="1"/>
        <rFont val="Times New Roman"/>
        <family val="1"/>
      </rPr>
      <t xml:space="preserve"> (%):</t>
    </r>
  </si>
  <si>
    <r>
      <t>CRR</t>
    </r>
    <r>
      <rPr>
        <i/>
        <vertAlign val="superscript"/>
        <sz val="11"/>
        <color theme="1"/>
        <rFont val="Times New Roman"/>
        <family val="1"/>
      </rPr>
      <t>ref</t>
    </r>
  </si>
  <si>
    <r>
      <t>FS</t>
    </r>
    <r>
      <rPr>
        <i/>
        <vertAlign val="subscript"/>
        <sz val="11"/>
        <color theme="1"/>
        <rFont val="Times New Roman"/>
        <family val="1"/>
      </rPr>
      <t>L</t>
    </r>
    <r>
      <rPr>
        <i/>
        <vertAlign val="superscript"/>
        <sz val="11"/>
        <color theme="1"/>
        <rFont val="Times New Roman"/>
        <family val="1"/>
      </rPr>
      <t>ref</t>
    </r>
  </si>
  <si>
    <r>
      <t>(N</t>
    </r>
    <r>
      <rPr>
        <vertAlign val="subscript"/>
        <sz val="11"/>
        <color theme="1"/>
        <rFont val="Times New Roman"/>
        <family val="1"/>
      </rPr>
      <t>1</t>
    </r>
    <r>
      <rPr>
        <sz val="11"/>
        <color theme="1"/>
        <rFont val="Times New Roman"/>
        <family val="1"/>
      </rPr>
      <t>)</t>
    </r>
    <r>
      <rPr>
        <vertAlign val="subscript"/>
        <sz val="11"/>
        <color theme="1"/>
        <rFont val="Times New Roman"/>
        <family val="1"/>
      </rPr>
      <t>60,Cs</t>
    </r>
    <r>
      <rPr>
        <vertAlign val="superscript"/>
        <sz val="11"/>
        <color theme="1"/>
        <rFont val="Times New Roman"/>
        <family val="1"/>
      </rPr>
      <t>site</t>
    </r>
  </si>
  <si>
    <r>
      <t>(N</t>
    </r>
    <r>
      <rPr>
        <vertAlign val="subscript"/>
        <sz val="11"/>
        <color theme="1"/>
        <rFont val="Times New Roman"/>
        <family val="1"/>
      </rPr>
      <t>1</t>
    </r>
    <r>
      <rPr>
        <sz val="11"/>
        <color theme="1"/>
        <rFont val="Times New Roman"/>
        <family val="1"/>
      </rPr>
      <t>)</t>
    </r>
    <r>
      <rPr>
        <vertAlign val="subscript"/>
        <sz val="11"/>
        <color theme="1"/>
        <rFont val="Times New Roman"/>
        <family val="1"/>
      </rPr>
      <t>60,Cs</t>
    </r>
    <r>
      <rPr>
        <vertAlign val="superscript"/>
        <sz val="11"/>
        <color theme="1"/>
        <rFont val="Times New Roman"/>
        <family val="1"/>
      </rPr>
      <t>ref</t>
    </r>
  </si>
  <si>
    <r>
      <t>F</t>
    </r>
    <r>
      <rPr>
        <vertAlign val="subscript"/>
        <sz val="11"/>
        <color theme="1"/>
        <rFont val="Calibri"/>
        <family val="2"/>
      </rPr>
      <t>α</t>
    </r>
    <r>
      <rPr>
        <vertAlign val="superscript"/>
        <sz val="11"/>
        <color theme="1"/>
        <rFont val="Calibri"/>
        <family val="2"/>
      </rPr>
      <t>site</t>
    </r>
  </si>
  <si>
    <r>
      <t>γ</t>
    </r>
    <r>
      <rPr>
        <vertAlign val="subscript"/>
        <sz val="11"/>
        <color theme="1"/>
        <rFont val="Times New Roman"/>
        <family val="1"/>
      </rPr>
      <t>LIM</t>
    </r>
    <r>
      <rPr>
        <vertAlign val="superscript"/>
        <sz val="11"/>
        <color theme="1"/>
        <rFont val="Times New Roman"/>
        <family val="1"/>
      </rPr>
      <t>ref</t>
    </r>
  </si>
  <si>
    <r>
      <t>γ</t>
    </r>
    <r>
      <rPr>
        <vertAlign val="subscript"/>
        <sz val="11"/>
        <color theme="1"/>
        <rFont val="Times New Roman"/>
        <family val="1"/>
      </rPr>
      <t>MAX</t>
    </r>
    <r>
      <rPr>
        <vertAlign val="superscript"/>
        <sz val="11"/>
        <color theme="1"/>
        <rFont val="Times New Roman"/>
        <family val="1"/>
      </rPr>
      <t>ref</t>
    </r>
  </si>
  <si>
    <r>
      <t>γ</t>
    </r>
    <r>
      <rPr>
        <vertAlign val="subscript"/>
        <sz val="11"/>
        <color theme="1"/>
        <rFont val="Times New Roman"/>
        <family val="1"/>
      </rPr>
      <t>LIM</t>
    </r>
    <r>
      <rPr>
        <vertAlign val="superscript"/>
        <sz val="11"/>
        <color theme="1"/>
        <rFont val="Times New Roman"/>
        <family val="1"/>
      </rPr>
      <t>site</t>
    </r>
  </si>
  <si>
    <r>
      <t>γ</t>
    </r>
    <r>
      <rPr>
        <vertAlign val="subscript"/>
        <sz val="11"/>
        <color theme="1"/>
        <rFont val="Times New Roman"/>
        <family val="1"/>
      </rPr>
      <t>MAX</t>
    </r>
    <r>
      <rPr>
        <vertAlign val="superscript"/>
        <sz val="11"/>
        <color theme="1"/>
        <rFont val="Times New Roman"/>
        <family val="1"/>
      </rPr>
      <t>site</t>
    </r>
  </si>
  <si>
    <r>
      <t>ε</t>
    </r>
    <r>
      <rPr>
        <vertAlign val="subscript"/>
        <sz val="11"/>
        <color theme="1"/>
        <rFont val="Times New Roman"/>
        <family val="1"/>
      </rPr>
      <t>v,approx.</t>
    </r>
    <r>
      <rPr>
        <vertAlign val="superscript"/>
        <sz val="11"/>
        <color theme="1"/>
        <rFont val="Times New Roman"/>
        <family val="1"/>
      </rPr>
      <t>ref</t>
    </r>
  </si>
  <si>
    <t>Simplified Performance-based Settlement using Cetin et al. (2009)</t>
  </si>
  <si>
    <r>
      <t>N</t>
    </r>
    <r>
      <rPr>
        <i/>
        <vertAlign val="subscript"/>
        <sz val="11"/>
        <color theme="1"/>
        <rFont val="Times New Roman"/>
        <family val="1"/>
      </rPr>
      <t>req</t>
    </r>
    <r>
      <rPr>
        <i/>
        <vertAlign val="superscript"/>
        <sz val="11"/>
        <color theme="1"/>
        <rFont val="Times New Roman"/>
        <family val="1"/>
      </rPr>
      <t>ref</t>
    </r>
    <r>
      <rPr>
        <i/>
        <sz val="11"/>
        <color theme="1"/>
        <rFont val="Times New Roman"/>
        <family val="1"/>
      </rPr>
      <t xml:space="preserve"> (%):</t>
    </r>
  </si>
  <si>
    <t>Compute Approximate Site Strain</t>
  </si>
  <si>
    <t>Compute Approximate Reference Strain</t>
  </si>
  <si>
    <r>
      <t>P</t>
    </r>
    <r>
      <rPr>
        <vertAlign val="subscript"/>
        <sz val="11"/>
        <color theme="1"/>
        <rFont val="Times New Roman"/>
        <family val="1"/>
      </rPr>
      <t>LIQ</t>
    </r>
    <r>
      <rPr>
        <vertAlign val="superscript"/>
        <sz val="11"/>
        <color theme="1"/>
        <rFont val="Times New Roman"/>
        <family val="1"/>
      </rPr>
      <t>site</t>
    </r>
  </si>
  <si>
    <r>
      <t>P</t>
    </r>
    <r>
      <rPr>
        <vertAlign val="subscript"/>
        <sz val="11"/>
        <color theme="1"/>
        <rFont val="Times New Roman"/>
        <family val="1"/>
      </rPr>
      <t>LIQ</t>
    </r>
    <r>
      <rPr>
        <vertAlign val="superscript"/>
        <sz val="11"/>
        <color theme="1"/>
        <rFont val="Times New Roman"/>
        <family val="1"/>
      </rPr>
      <t>ref</t>
    </r>
  </si>
  <si>
    <t>Compute Corrrection Factor and Site Strain</t>
  </si>
  <si>
    <r>
      <t>CRR(N</t>
    </r>
    <r>
      <rPr>
        <vertAlign val="subscript"/>
        <sz val="11"/>
        <color theme="1"/>
        <rFont val="Times New Roman"/>
        <family val="1"/>
      </rPr>
      <t>req</t>
    </r>
    <r>
      <rPr>
        <sz val="11"/>
        <color theme="1"/>
        <rFont val="Times New Roman"/>
        <family val="1"/>
      </rPr>
      <t>)</t>
    </r>
    <r>
      <rPr>
        <vertAlign val="superscript"/>
        <sz val="11"/>
        <color theme="1"/>
        <rFont val="Times New Roman"/>
        <family val="1"/>
      </rPr>
      <t>site</t>
    </r>
  </si>
  <si>
    <r>
      <t>D</t>
    </r>
    <r>
      <rPr>
        <vertAlign val="subscript"/>
        <sz val="11"/>
        <color theme="1"/>
        <rFont val="Times New Roman"/>
        <family val="1"/>
      </rPr>
      <t xml:space="preserve">R </t>
    </r>
    <r>
      <rPr>
        <sz val="11"/>
        <color theme="1"/>
        <rFont val="Times New Roman"/>
        <family val="1"/>
      </rPr>
      <t>(%)</t>
    </r>
    <r>
      <rPr>
        <vertAlign val="superscript"/>
        <sz val="11"/>
        <color theme="1"/>
        <rFont val="Times New Roman"/>
        <family val="1"/>
      </rPr>
      <t>site</t>
    </r>
  </si>
  <si>
    <r>
      <t>CRR(N</t>
    </r>
    <r>
      <rPr>
        <vertAlign val="subscript"/>
        <sz val="11"/>
        <color theme="1"/>
        <rFont val="Times New Roman"/>
        <family val="1"/>
      </rPr>
      <t>req</t>
    </r>
    <r>
      <rPr>
        <sz val="11"/>
        <color theme="1"/>
        <rFont val="Times New Roman"/>
        <family val="1"/>
      </rPr>
      <t>)</t>
    </r>
    <r>
      <rPr>
        <vertAlign val="superscript"/>
        <sz val="11"/>
        <color theme="1"/>
        <rFont val="Times New Roman"/>
        <family val="1"/>
      </rPr>
      <t>ref</t>
    </r>
  </si>
  <si>
    <r>
      <t>D</t>
    </r>
    <r>
      <rPr>
        <vertAlign val="subscript"/>
        <sz val="11"/>
        <color theme="1"/>
        <rFont val="Times New Roman"/>
        <family val="1"/>
      </rPr>
      <t xml:space="preserve">R </t>
    </r>
    <r>
      <rPr>
        <sz val="11"/>
        <color theme="1"/>
        <rFont val="Times New Roman"/>
        <family val="1"/>
      </rPr>
      <t>(%)</t>
    </r>
    <r>
      <rPr>
        <vertAlign val="superscript"/>
        <sz val="11"/>
        <color theme="1"/>
        <rFont val="Times New Roman"/>
        <family val="1"/>
      </rPr>
      <t>ref</t>
    </r>
  </si>
  <si>
    <t>=Settlement-specific</t>
  </si>
  <si>
    <t>=Slope Displacement-specific</t>
  </si>
  <si>
    <r>
      <t>FS</t>
    </r>
    <r>
      <rPr>
        <vertAlign val="subscript"/>
        <sz val="11"/>
        <color theme="1"/>
        <rFont val="Times New Roman"/>
        <family val="1"/>
      </rPr>
      <t>L</t>
    </r>
    <r>
      <rPr>
        <vertAlign val="superscript"/>
        <sz val="11"/>
        <color theme="1"/>
        <rFont val="Times New Roman"/>
        <family val="1"/>
      </rPr>
      <t>site</t>
    </r>
  </si>
  <si>
    <r>
      <t>ε</t>
    </r>
    <r>
      <rPr>
        <vertAlign val="subscript"/>
        <sz val="11"/>
        <color theme="1"/>
        <rFont val="Times New Roman"/>
        <family val="1"/>
      </rPr>
      <t>v,calibrated</t>
    </r>
    <r>
      <rPr>
        <vertAlign val="superscript"/>
        <sz val="11"/>
        <color theme="1"/>
        <rFont val="Times New Roman"/>
        <family val="1"/>
      </rPr>
      <t xml:space="preserve">site </t>
    </r>
    <r>
      <rPr>
        <sz val="11"/>
        <color theme="1"/>
        <rFont val="Times New Roman"/>
        <family val="1"/>
      </rPr>
      <t>(%)</t>
    </r>
  </si>
  <si>
    <r>
      <t>ε</t>
    </r>
    <r>
      <rPr>
        <vertAlign val="subscript"/>
        <sz val="11"/>
        <color theme="1"/>
        <rFont val="Times New Roman"/>
        <family val="1"/>
      </rPr>
      <t>v,calibrated</t>
    </r>
    <r>
      <rPr>
        <vertAlign val="superscript"/>
        <sz val="11"/>
        <color theme="1"/>
        <rFont val="Times New Roman"/>
        <family val="1"/>
      </rPr>
      <t>site</t>
    </r>
  </si>
  <si>
    <t>Calibrated Strain</t>
  </si>
  <si>
    <r>
      <t>DF</t>
    </r>
    <r>
      <rPr>
        <i/>
        <vertAlign val="subscript"/>
        <sz val="11"/>
        <color theme="1"/>
        <rFont val="Times New Roman"/>
        <family val="1"/>
      </rPr>
      <t>i</t>
    </r>
  </si>
  <si>
    <r>
      <t>ε*t*DF</t>
    </r>
    <r>
      <rPr>
        <i/>
        <vertAlign val="subscript"/>
        <sz val="11"/>
        <color theme="1"/>
        <rFont val="Times New Roman"/>
        <family val="1"/>
      </rPr>
      <t>i</t>
    </r>
  </si>
  <si>
    <r>
      <t>t*DF</t>
    </r>
    <r>
      <rPr>
        <i/>
        <vertAlign val="subscript"/>
        <sz val="11"/>
        <color theme="1"/>
        <rFont val="Times New Roman"/>
        <family val="1"/>
      </rPr>
      <t>i</t>
    </r>
  </si>
  <si>
    <r>
      <t>ε</t>
    </r>
    <r>
      <rPr>
        <vertAlign val="subscript"/>
        <sz val="11"/>
        <color theme="1"/>
        <rFont val="Times New Roman"/>
        <family val="1"/>
      </rPr>
      <t>v,eqv.</t>
    </r>
    <r>
      <rPr>
        <vertAlign val="superscript"/>
        <sz val="11"/>
        <color theme="1"/>
        <rFont val="Times New Roman"/>
        <family val="1"/>
      </rPr>
      <t>site</t>
    </r>
  </si>
  <si>
    <r>
      <rPr>
        <i/>
        <sz val="11"/>
        <color theme="1"/>
        <rFont val="Times New Roman"/>
        <family val="1"/>
      </rPr>
      <t>S</t>
    </r>
    <r>
      <rPr>
        <i/>
        <vertAlign val="subscript"/>
        <sz val="11"/>
        <color theme="1"/>
        <rFont val="Times New Roman"/>
        <family val="1"/>
      </rPr>
      <t xml:space="preserve">site </t>
    </r>
    <r>
      <rPr>
        <i/>
        <sz val="11"/>
        <color theme="1"/>
        <rFont val="Times New Roman"/>
        <family val="1"/>
      </rPr>
      <t>(m)</t>
    </r>
  </si>
  <si>
    <t>Compute Ground Surface Settlment</t>
  </si>
  <si>
    <r>
      <t>S</t>
    </r>
    <r>
      <rPr>
        <i/>
        <vertAlign val="subscript"/>
        <sz val="11"/>
        <color theme="1"/>
        <rFont val="Times New Roman"/>
        <family val="1"/>
      </rPr>
      <t xml:space="preserve">site </t>
    </r>
    <r>
      <rPr>
        <i/>
        <sz val="11"/>
        <color theme="1"/>
        <rFont val="Times New Roman"/>
        <family val="1"/>
      </rPr>
      <t>(cm)</t>
    </r>
  </si>
  <si>
    <r>
      <t>S</t>
    </r>
    <r>
      <rPr>
        <i/>
        <vertAlign val="subscript"/>
        <sz val="11"/>
        <color theme="1"/>
        <rFont val="Times New Roman"/>
        <family val="1"/>
      </rPr>
      <t xml:space="preserve">site </t>
    </r>
    <r>
      <rPr>
        <i/>
        <sz val="11"/>
        <color theme="1"/>
        <rFont val="Times New Roman"/>
        <family val="1"/>
      </rPr>
      <t>(m)</t>
    </r>
  </si>
  <si>
    <r>
      <t>Σ(t</t>
    </r>
    <r>
      <rPr>
        <i/>
        <vertAlign val="subscript"/>
        <sz val="11"/>
        <color theme="1"/>
        <rFont val="Times New Roman"/>
        <family val="1"/>
      </rPr>
      <t>i</t>
    </r>
    <r>
      <rPr>
        <i/>
        <sz val="11"/>
        <color theme="1"/>
        <rFont val="Times New Roman"/>
        <family val="1"/>
      </rPr>
      <t>*DF</t>
    </r>
    <r>
      <rPr>
        <i/>
        <vertAlign val="subscript"/>
        <sz val="11"/>
        <color theme="1"/>
        <rFont val="Times New Roman"/>
        <family val="1"/>
      </rPr>
      <t>i</t>
    </r>
    <r>
      <rPr>
        <i/>
        <sz val="11"/>
        <color theme="1"/>
        <rFont val="Times New Roman"/>
        <family val="1"/>
      </rPr>
      <t>)</t>
    </r>
  </si>
  <si>
    <r>
      <t>ε</t>
    </r>
    <r>
      <rPr>
        <i/>
        <vertAlign val="subscript"/>
        <sz val="11"/>
        <color theme="1"/>
        <rFont val="Times New Roman"/>
        <family val="1"/>
      </rPr>
      <t>i</t>
    </r>
    <r>
      <rPr>
        <i/>
        <vertAlign val="superscript"/>
        <sz val="11"/>
        <color theme="1"/>
        <rFont val="Times New Roman"/>
        <family val="1"/>
      </rPr>
      <t>site</t>
    </r>
  </si>
  <si>
    <r>
      <t>ε</t>
    </r>
    <r>
      <rPr>
        <i/>
        <vertAlign val="subscript"/>
        <sz val="11"/>
        <color theme="1"/>
        <rFont val="Times New Roman"/>
        <family val="1"/>
      </rPr>
      <t>i</t>
    </r>
    <r>
      <rPr>
        <i/>
        <sz val="11"/>
        <color theme="1"/>
        <rFont val="Times New Roman"/>
        <family val="1"/>
      </rPr>
      <t>*Df</t>
    </r>
    <r>
      <rPr>
        <i/>
        <vertAlign val="subscript"/>
        <sz val="11"/>
        <color theme="1"/>
        <rFont val="Times New Roman"/>
        <family val="1"/>
      </rPr>
      <t>i</t>
    </r>
    <r>
      <rPr>
        <i/>
        <sz val="11"/>
        <color theme="1"/>
        <rFont val="Times New Roman"/>
        <family val="1"/>
      </rPr>
      <t>*Σt</t>
    </r>
    <r>
      <rPr>
        <i/>
        <vertAlign val="subscript"/>
        <sz val="11"/>
        <color theme="1"/>
        <rFont val="Times New Roman"/>
        <family val="1"/>
      </rPr>
      <t>i</t>
    </r>
  </si>
  <si>
    <r>
      <t>S</t>
    </r>
    <r>
      <rPr>
        <i/>
        <vertAlign val="subscript"/>
        <sz val="11"/>
        <color theme="1"/>
        <rFont val="Times New Roman"/>
        <family val="1"/>
      </rPr>
      <t>i</t>
    </r>
    <r>
      <rPr>
        <i/>
        <sz val="11"/>
        <color theme="1"/>
        <rFont val="Times New Roman"/>
        <family val="1"/>
      </rPr>
      <t xml:space="preserve"> (cm)</t>
    </r>
  </si>
  <si>
    <t>Compute Settlement for Each Layer</t>
  </si>
  <si>
    <t>R&amp;S:</t>
  </si>
  <si>
    <t>B&amp;T:</t>
  </si>
  <si>
    <t>Latitude:</t>
  </si>
  <si>
    <t>Longitude:</t>
  </si>
  <si>
    <t>Probability of Exceedance:</t>
  </si>
  <si>
    <t>Return Period:</t>
  </si>
  <si>
    <t>yrs</t>
  </si>
  <si>
    <t>Latitude =</t>
  </si>
  <si>
    <t>Longitude=</t>
  </si>
  <si>
    <t>Site Location:</t>
  </si>
  <si>
    <r>
      <rPr>
        <sz val="11"/>
        <color theme="1"/>
        <rFont val="Times New Roman"/>
        <family val="1"/>
      </rPr>
      <t>ε</t>
    </r>
    <r>
      <rPr>
        <i/>
        <vertAlign val="subscript"/>
        <sz val="11"/>
        <color theme="1"/>
        <rFont val="Times New Roman"/>
        <family val="1"/>
      </rPr>
      <t>v,Cetin</t>
    </r>
    <r>
      <rPr>
        <i/>
        <sz val="11"/>
        <color theme="1"/>
        <rFont val="Times New Roman"/>
        <family val="1"/>
      </rPr>
      <t>(%)</t>
    </r>
    <r>
      <rPr>
        <i/>
        <vertAlign val="superscript"/>
        <sz val="11"/>
        <color theme="1"/>
        <rFont val="Times New Roman"/>
        <family val="1"/>
      </rPr>
      <t>ref</t>
    </r>
    <r>
      <rPr>
        <sz val="11"/>
        <color theme="1"/>
        <rFont val="Times New Roman"/>
        <family val="1"/>
      </rPr>
      <t xml:space="preserve"> =</t>
    </r>
  </si>
  <si>
    <r>
      <rPr>
        <sz val="11"/>
        <color theme="1"/>
        <rFont val="Times New Roman"/>
        <family val="1"/>
      </rPr>
      <t>ε</t>
    </r>
    <r>
      <rPr>
        <i/>
        <vertAlign val="subscript"/>
        <sz val="11"/>
        <color theme="1"/>
        <rFont val="Times New Roman"/>
        <family val="1"/>
      </rPr>
      <t>v,IshiharaYoshimine</t>
    </r>
    <r>
      <rPr>
        <i/>
        <sz val="11"/>
        <color theme="1"/>
        <rFont val="Times New Roman"/>
        <family val="1"/>
      </rPr>
      <t>(%)</t>
    </r>
    <r>
      <rPr>
        <i/>
        <vertAlign val="superscript"/>
        <sz val="11"/>
        <color theme="1"/>
        <rFont val="Times New Roman"/>
        <family val="1"/>
      </rPr>
      <t>ref</t>
    </r>
    <r>
      <rPr>
        <sz val="11"/>
        <color theme="1"/>
        <rFont val="Times New Roman"/>
        <family val="1"/>
      </rPr>
      <t xml:space="preserve"> =</t>
    </r>
  </si>
  <si>
    <t>Probability of Exceedance =</t>
  </si>
  <si>
    <t>AB-123-4567</t>
  </si>
  <si>
    <r>
      <t>This is the same as the Boore-Joyner distance (R</t>
    </r>
    <r>
      <rPr>
        <vertAlign val="subscript"/>
        <sz val="12"/>
        <color theme="1"/>
        <rFont val="Times New Roman"/>
        <family val="1"/>
      </rPr>
      <t>JB</t>
    </r>
    <r>
      <rPr>
        <sz val="12"/>
        <color theme="1"/>
        <rFont val="Times New Roman"/>
        <family val="2"/>
      </rPr>
      <t>) as can be seen in the following figure</t>
    </r>
  </si>
  <si>
    <t>Compute Deterministic Vertical Strain</t>
  </si>
  <si>
    <r>
      <t>F</t>
    </r>
    <r>
      <rPr>
        <vertAlign val="subscript"/>
        <sz val="11"/>
        <color theme="1"/>
        <rFont val="Times New Roman"/>
        <family val="1"/>
      </rPr>
      <t>α</t>
    </r>
    <r>
      <rPr>
        <vertAlign val="superscript"/>
        <sz val="11"/>
        <color theme="1"/>
        <rFont val="Times New Roman"/>
        <family val="1"/>
      </rPr>
      <t>ref</t>
    </r>
  </si>
  <si>
    <t>Settlement Chart Title</t>
  </si>
  <si>
    <t>Depth Title</t>
  </si>
  <si>
    <t>Idriss and Boulanger (2008, 2012); Ishihara &amp; Yoshimine (1992)</t>
  </si>
  <si>
    <t>Cetin et al. (2004, 2009)</t>
  </si>
  <si>
    <t>Settlement Table</t>
  </si>
  <si>
    <r>
      <t>S</t>
    </r>
    <r>
      <rPr>
        <vertAlign val="subscript"/>
        <sz val="11"/>
        <color theme="1"/>
        <rFont val="Times New Roman"/>
        <family val="1"/>
      </rPr>
      <t>cum.</t>
    </r>
    <r>
      <rPr>
        <sz val="11"/>
        <color theme="1"/>
        <rFont val="Times New Roman"/>
        <family val="1"/>
      </rPr>
      <t xml:space="preserve"> [cm]</t>
    </r>
  </si>
  <si>
    <r>
      <t>S</t>
    </r>
    <r>
      <rPr>
        <vertAlign val="subscript"/>
        <sz val="11"/>
        <color theme="1"/>
        <rFont val="Times New Roman"/>
        <family val="1"/>
      </rPr>
      <t>cum.</t>
    </r>
    <r>
      <rPr>
        <sz val="11"/>
        <color theme="1"/>
        <rFont val="Times New Roman"/>
        <family val="1"/>
      </rPr>
      <t xml:space="preserve"> [in]</t>
    </r>
  </si>
  <si>
    <r>
      <t xml:space="preserve">Liquefaction Initiation and Settlement </t>
    </r>
    <r>
      <rPr>
        <b/>
        <u/>
        <sz val="11"/>
        <color theme="1"/>
        <rFont val="Times New Roman"/>
        <family val="1"/>
      </rPr>
      <t>Deterministic</t>
    </r>
    <r>
      <rPr>
        <b/>
        <sz val="11"/>
        <color theme="1"/>
        <rFont val="Times New Roman"/>
        <family val="1"/>
      </rPr>
      <t xml:space="preserve"> Results:</t>
    </r>
  </si>
  <si>
    <r>
      <t xml:space="preserve">Liquefaction Initiation and Settlement </t>
    </r>
    <r>
      <rPr>
        <b/>
        <u/>
        <sz val="11"/>
        <color theme="1"/>
        <rFont val="Times New Roman"/>
        <family val="1"/>
      </rPr>
      <t>Simplified Performance-based</t>
    </r>
    <r>
      <rPr>
        <b/>
        <sz val="11"/>
        <color theme="1"/>
        <rFont val="Times New Roman"/>
        <family val="1"/>
      </rPr>
      <t xml:space="preserve"> Results:</t>
    </r>
  </si>
  <si>
    <t>Simplified Performance-based Seismic Slope Displacement Rathje &amp; Saygili (2009)</t>
  </si>
  <si>
    <t>Simplified Model</t>
  </si>
  <si>
    <t>Input site information</t>
  </si>
  <si>
    <t>Input reference information</t>
  </si>
  <si>
    <t>PGA</t>
  </si>
  <si>
    <r>
      <t>k</t>
    </r>
    <r>
      <rPr>
        <vertAlign val="subscript"/>
        <sz val="11"/>
        <color theme="1"/>
        <rFont val="Times New Roman"/>
        <family val="1"/>
      </rPr>
      <t>y</t>
    </r>
    <r>
      <rPr>
        <vertAlign val="superscript"/>
        <sz val="11"/>
        <color theme="1"/>
        <rFont val="Times New Roman"/>
        <family val="1"/>
      </rPr>
      <t>site</t>
    </r>
  </si>
  <si>
    <r>
      <t>F</t>
    </r>
    <r>
      <rPr>
        <vertAlign val="subscript"/>
        <sz val="11"/>
        <color theme="1"/>
        <rFont val="Times New Roman"/>
        <family val="1"/>
      </rPr>
      <t>PGA</t>
    </r>
    <r>
      <rPr>
        <vertAlign val="superscript"/>
        <sz val="11"/>
        <color theme="1"/>
        <rFont val="Times New Roman"/>
        <family val="1"/>
      </rPr>
      <t>site</t>
    </r>
  </si>
  <si>
    <r>
      <t>k</t>
    </r>
    <r>
      <rPr>
        <vertAlign val="subscript"/>
        <sz val="11"/>
        <color theme="1"/>
        <rFont val="Times New Roman"/>
        <family val="1"/>
      </rPr>
      <t>y</t>
    </r>
    <r>
      <rPr>
        <sz val="11"/>
        <color theme="1"/>
        <rFont val="Times New Roman"/>
        <family val="1"/>
      </rPr>
      <t>=</t>
    </r>
  </si>
  <si>
    <r>
      <t>k</t>
    </r>
    <r>
      <rPr>
        <vertAlign val="subscript"/>
        <sz val="11"/>
        <color theme="1"/>
        <rFont val="Times New Roman"/>
        <family val="1"/>
      </rPr>
      <t>y</t>
    </r>
    <r>
      <rPr>
        <vertAlign val="superscript"/>
        <sz val="11"/>
        <color theme="1"/>
        <rFont val="Times New Roman"/>
        <family val="1"/>
      </rPr>
      <t>ref</t>
    </r>
  </si>
  <si>
    <r>
      <t>F</t>
    </r>
    <r>
      <rPr>
        <vertAlign val="subscript"/>
        <sz val="11"/>
        <color theme="1"/>
        <rFont val="Times New Roman"/>
        <family val="1"/>
      </rPr>
      <t>PGA</t>
    </r>
    <r>
      <rPr>
        <vertAlign val="superscript"/>
        <sz val="11"/>
        <color theme="1"/>
        <rFont val="Times New Roman"/>
        <family val="1"/>
      </rPr>
      <t>ref</t>
    </r>
  </si>
  <si>
    <r>
      <t>M</t>
    </r>
    <r>
      <rPr>
        <vertAlign val="subscript"/>
        <sz val="12"/>
        <color theme="1"/>
        <rFont val="Times New Roman"/>
        <family val="1"/>
      </rPr>
      <t>w</t>
    </r>
  </si>
  <si>
    <t>Input  information</t>
  </si>
  <si>
    <r>
      <t>k</t>
    </r>
    <r>
      <rPr>
        <vertAlign val="subscript"/>
        <sz val="11"/>
        <color theme="1"/>
        <rFont val="Times New Roman"/>
        <family val="1"/>
      </rPr>
      <t>y</t>
    </r>
  </si>
  <si>
    <t>Percentile</t>
  </si>
  <si>
    <r>
      <t>ΔlnD</t>
    </r>
    <r>
      <rPr>
        <sz val="12"/>
        <color theme="1"/>
        <rFont val="Times New Roman"/>
        <family val="1"/>
      </rPr>
      <t xml:space="preserve"> =</t>
    </r>
  </si>
  <si>
    <r>
      <t>D</t>
    </r>
    <r>
      <rPr>
        <i/>
        <vertAlign val="subscript"/>
        <sz val="11"/>
        <color theme="1"/>
        <rFont val="Times New Roman"/>
        <family val="1"/>
      </rPr>
      <t>R&amp;S</t>
    </r>
    <r>
      <rPr>
        <i/>
        <vertAlign val="superscript"/>
        <sz val="11"/>
        <color theme="1"/>
        <rFont val="Times New Roman"/>
        <family val="1"/>
      </rPr>
      <t>ref</t>
    </r>
    <r>
      <rPr>
        <i/>
        <sz val="11"/>
        <color theme="1"/>
        <rFont val="Times New Roman"/>
        <family val="1"/>
      </rPr>
      <t xml:space="preserve"> </t>
    </r>
    <r>
      <rPr>
        <sz val="11"/>
        <color theme="1"/>
        <rFont val="Times New Roman"/>
        <family val="1"/>
      </rPr>
      <t>=</t>
    </r>
  </si>
  <si>
    <r>
      <t>D</t>
    </r>
    <r>
      <rPr>
        <i/>
        <vertAlign val="subscript"/>
        <sz val="11"/>
        <color theme="1"/>
        <rFont val="Times New Roman"/>
        <family val="1"/>
      </rPr>
      <t>B&amp;T</t>
    </r>
    <r>
      <rPr>
        <i/>
        <vertAlign val="superscript"/>
        <sz val="11"/>
        <color theme="1"/>
        <rFont val="Times New Roman"/>
        <family val="1"/>
      </rPr>
      <t>ref</t>
    </r>
    <r>
      <rPr>
        <i/>
        <sz val="11"/>
        <color theme="1"/>
        <rFont val="Times New Roman"/>
        <family val="1"/>
      </rPr>
      <t xml:space="preserve"> </t>
    </r>
    <r>
      <rPr>
        <sz val="11"/>
        <color theme="1"/>
        <rFont val="Times New Roman"/>
        <family val="1"/>
      </rPr>
      <t>=</t>
    </r>
  </si>
  <si>
    <t>cm</t>
  </si>
  <si>
    <r>
      <t xml:space="preserve"> D</t>
    </r>
    <r>
      <rPr>
        <vertAlign val="superscript"/>
        <sz val="12"/>
        <color theme="1"/>
        <rFont val="Times New Roman"/>
        <family val="1"/>
      </rPr>
      <t>site</t>
    </r>
    <r>
      <rPr>
        <sz val="12"/>
        <color theme="1"/>
        <rFont val="Times New Roman"/>
        <family val="1"/>
      </rPr>
      <t xml:space="preserve"> =</t>
    </r>
  </si>
  <si>
    <r>
      <t>D</t>
    </r>
    <r>
      <rPr>
        <vertAlign val="superscript"/>
        <sz val="11"/>
        <color theme="1"/>
        <rFont val="Times New Roman"/>
        <family val="1"/>
      </rPr>
      <t>ref</t>
    </r>
  </si>
  <si>
    <t>Simplified Performance-based Seismic Slope Displacement Bray and Travasarou (2007)</t>
  </si>
  <si>
    <t>Summary of Inputs for Seismic Slope Displacement Analysis:</t>
  </si>
  <si>
    <r>
      <t>P</t>
    </r>
    <r>
      <rPr>
        <vertAlign val="subscript"/>
        <sz val="9"/>
        <color theme="1"/>
        <rFont val="Times New Roman"/>
        <family val="2"/>
      </rPr>
      <t>L</t>
    </r>
    <r>
      <rPr>
        <sz val="9"/>
        <color theme="1"/>
        <rFont val="Times New Roman"/>
        <family val="2"/>
      </rPr>
      <t xml:space="preserve"> = Probability of Liq.</t>
    </r>
  </si>
  <si>
    <r>
      <t>FS</t>
    </r>
    <r>
      <rPr>
        <vertAlign val="subscript"/>
        <sz val="9"/>
        <rFont val="Times New Roman"/>
        <family val="2"/>
      </rPr>
      <t>L</t>
    </r>
    <r>
      <rPr>
        <sz val="9"/>
        <rFont val="Times New Roman"/>
        <family val="2"/>
      </rPr>
      <t xml:space="preserve"> = Factor of Safety</t>
    </r>
  </si>
  <si>
    <r>
      <t>ε</t>
    </r>
    <r>
      <rPr>
        <i/>
        <vertAlign val="subscript"/>
        <sz val="11"/>
        <color theme="1"/>
        <rFont val="Times New Roman"/>
        <family val="1"/>
      </rPr>
      <t>v,I&amp;Y</t>
    </r>
    <r>
      <rPr>
        <i/>
        <sz val="11"/>
        <color theme="1"/>
        <rFont val="Times New Roman"/>
        <family val="1"/>
      </rPr>
      <t>(%)</t>
    </r>
    <r>
      <rPr>
        <i/>
        <vertAlign val="superscript"/>
        <sz val="11"/>
        <color theme="1"/>
        <rFont val="Times New Roman"/>
        <family val="1"/>
      </rPr>
      <t>ref</t>
    </r>
    <r>
      <rPr>
        <sz val="11"/>
        <color theme="1"/>
        <rFont val="Times New Roman"/>
        <family val="1"/>
      </rPr>
      <t xml:space="preserve"> =</t>
    </r>
  </si>
  <si>
    <r>
      <t>Cetin et. al (2004) (N</t>
    </r>
    <r>
      <rPr>
        <b/>
        <vertAlign val="subscript"/>
        <sz val="11"/>
        <color theme="1"/>
        <rFont val="Times New Roman"/>
        <family val="1"/>
      </rPr>
      <t>1</t>
    </r>
    <r>
      <rPr>
        <b/>
        <sz val="11"/>
        <color theme="1"/>
        <rFont val="Times New Roman"/>
        <family val="1"/>
      </rPr>
      <t>)</t>
    </r>
    <r>
      <rPr>
        <b/>
        <vertAlign val="subscript"/>
        <sz val="11"/>
        <color theme="1"/>
        <rFont val="Times New Roman"/>
        <family val="1"/>
      </rPr>
      <t>60</t>
    </r>
    <r>
      <rPr>
        <b/>
        <sz val="11"/>
        <color theme="1"/>
        <rFont val="Times New Roman"/>
        <family val="1"/>
      </rPr>
      <t xml:space="preserve"> Corrections</t>
    </r>
  </si>
  <si>
    <t>*Select "TRUE" to run analysis</t>
  </si>
  <si>
    <t>Input Parameters</t>
  </si>
  <si>
    <t>Refence Value</t>
  </si>
  <si>
    <r>
      <t>F</t>
    </r>
    <r>
      <rPr>
        <vertAlign val="subscript"/>
        <sz val="11"/>
        <color theme="1"/>
        <rFont val="Times New Roman"/>
        <family val="1"/>
      </rPr>
      <t>PGA</t>
    </r>
    <r>
      <rPr>
        <sz val="11"/>
        <color theme="1"/>
        <rFont val="Times New Roman"/>
        <family val="1"/>
      </rPr>
      <t xml:space="preserve"> =</t>
    </r>
  </si>
  <si>
    <r>
      <t>D</t>
    </r>
    <r>
      <rPr>
        <i/>
        <vertAlign val="subscript"/>
        <sz val="10.5"/>
        <color theme="1"/>
        <rFont val="Times New Roman"/>
        <family val="1"/>
      </rPr>
      <t>R&amp;S</t>
    </r>
    <r>
      <rPr>
        <i/>
        <vertAlign val="superscript"/>
        <sz val="10.5"/>
        <color theme="1"/>
        <rFont val="Times New Roman"/>
        <family val="1"/>
      </rPr>
      <t>ref</t>
    </r>
    <r>
      <rPr>
        <i/>
        <sz val="10.5"/>
        <color theme="1"/>
        <rFont val="Times New Roman"/>
        <family val="1"/>
      </rPr>
      <t xml:space="preserve"> </t>
    </r>
    <r>
      <rPr>
        <sz val="10.5"/>
        <color theme="1"/>
        <rFont val="Times New Roman"/>
        <family val="1"/>
      </rPr>
      <t>=</t>
    </r>
  </si>
  <si>
    <r>
      <t>D</t>
    </r>
    <r>
      <rPr>
        <i/>
        <vertAlign val="subscript"/>
        <sz val="10.5"/>
        <color theme="1"/>
        <rFont val="Times New Roman"/>
        <family val="1"/>
      </rPr>
      <t>B&amp;T</t>
    </r>
    <r>
      <rPr>
        <i/>
        <vertAlign val="superscript"/>
        <sz val="10.5"/>
        <color theme="1"/>
        <rFont val="Times New Roman"/>
        <family val="1"/>
      </rPr>
      <t>ref</t>
    </r>
    <r>
      <rPr>
        <i/>
        <sz val="10.5"/>
        <color theme="1"/>
        <rFont val="Times New Roman"/>
        <family val="1"/>
      </rPr>
      <t xml:space="preserve"> </t>
    </r>
    <r>
      <rPr>
        <sz val="10.5"/>
        <color theme="1"/>
        <rFont val="Times New Roman"/>
        <family val="1"/>
      </rPr>
      <t>=</t>
    </r>
  </si>
  <si>
    <r>
      <t>k</t>
    </r>
    <r>
      <rPr>
        <vertAlign val="subscript"/>
        <sz val="11"/>
        <color theme="1"/>
        <rFont val="Times New Roman"/>
        <family val="2"/>
      </rPr>
      <t>y</t>
    </r>
    <r>
      <rPr>
        <sz val="11"/>
        <color theme="1"/>
        <rFont val="Times New Roman"/>
        <family val="2"/>
      </rPr>
      <t>=</t>
    </r>
  </si>
  <si>
    <r>
      <t>M</t>
    </r>
    <r>
      <rPr>
        <vertAlign val="subscript"/>
        <sz val="11"/>
        <color theme="1"/>
        <rFont val="Times New Roman"/>
        <family val="2"/>
      </rPr>
      <t>w</t>
    </r>
    <r>
      <rPr>
        <sz val="11"/>
        <color theme="1"/>
        <rFont val="Times New Roman"/>
        <family val="2"/>
      </rPr>
      <t xml:space="preserve"> =</t>
    </r>
  </si>
  <si>
    <t>Seismic Slope Displacement Results:</t>
  </si>
  <si>
    <t>Site Slope Disp. Parameters:</t>
  </si>
  <si>
    <t>Seismic Slope Disp:</t>
  </si>
  <si>
    <t>Slope Displacement:</t>
  </si>
  <si>
    <r>
      <t>D</t>
    </r>
    <r>
      <rPr>
        <vertAlign val="subscript"/>
        <sz val="12"/>
        <color theme="1"/>
        <rFont val="Times New Roman"/>
        <family val="1"/>
      </rPr>
      <t>R&amp;S</t>
    </r>
    <r>
      <rPr>
        <sz val="12"/>
        <color theme="1"/>
        <rFont val="Times New Roman"/>
        <family val="1"/>
      </rPr>
      <t xml:space="preserve"> =</t>
    </r>
  </si>
  <si>
    <r>
      <t>D</t>
    </r>
    <r>
      <rPr>
        <vertAlign val="subscript"/>
        <sz val="12"/>
        <color theme="1"/>
        <rFont val="Times New Roman"/>
        <family val="1"/>
      </rPr>
      <t>B&amp;T</t>
    </r>
    <r>
      <rPr>
        <sz val="12"/>
        <color theme="1"/>
        <rFont val="Times New Roman"/>
        <family val="1"/>
      </rPr>
      <t xml:space="preserve"> =</t>
    </r>
  </si>
  <si>
    <r>
      <t>D</t>
    </r>
    <r>
      <rPr>
        <vertAlign val="subscript"/>
        <sz val="12"/>
        <color theme="1"/>
        <rFont val="Times New Roman"/>
        <family val="1"/>
      </rPr>
      <t>R&amp;S</t>
    </r>
    <r>
      <rPr>
        <vertAlign val="superscript"/>
        <sz val="12"/>
        <color theme="1"/>
        <rFont val="Times New Roman"/>
        <family val="1"/>
      </rPr>
      <t>site</t>
    </r>
    <r>
      <rPr>
        <sz val="12"/>
        <color theme="1"/>
        <rFont val="Times New Roman"/>
        <family val="1"/>
      </rPr>
      <t xml:space="preserve"> =</t>
    </r>
  </si>
  <si>
    <r>
      <t>D</t>
    </r>
    <r>
      <rPr>
        <vertAlign val="subscript"/>
        <sz val="12"/>
        <color theme="1"/>
        <rFont val="Times New Roman"/>
        <family val="1"/>
      </rPr>
      <t>B&amp;T</t>
    </r>
    <r>
      <rPr>
        <vertAlign val="superscript"/>
        <sz val="12"/>
        <color theme="1"/>
        <rFont val="Times New Roman"/>
        <family val="1"/>
      </rPr>
      <t>site</t>
    </r>
    <r>
      <rPr>
        <sz val="12"/>
        <color theme="1"/>
        <rFont val="Times New Roman"/>
        <family val="1"/>
      </rPr>
      <t xml:space="preserve"> =</t>
    </r>
  </si>
  <si>
    <r>
      <t>ε</t>
    </r>
    <r>
      <rPr>
        <vertAlign val="subscript"/>
        <sz val="11"/>
        <color theme="1"/>
        <rFont val="Times New Roman"/>
        <family val="1"/>
      </rPr>
      <t>v,calibrated</t>
    </r>
    <r>
      <rPr>
        <vertAlign val="superscript"/>
        <sz val="11"/>
        <color theme="1"/>
        <rFont val="Times New Roman"/>
        <family val="1"/>
      </rPr>
      <t xml:space="preserve">site </t>
    </r>
  </si>
  <si>
    <t>Liq. Initiation/Settlement/Slope Disp:</t>
  </si>
  <si>
    <t>Seismic Slope Displacement</t>
  </si>
  <si>
    <t>Seismic Slope Displacement Parameters for both Rathje &amp; Saygili (2009) and Bray &amp; Travasarou (2007):</t>
  </si>
  <si>
    <r>
      <t>Infinite Slope Conditions to calculate k</t>
    </r>
    <r>
      <rPr>
        <b/>
        <vertAlign val="subscript"/>
        <sz val="12"/>
        <color theme="1"/>
        <rFont val="Times New Roman"/>
        <family val="1"/>
      </rPr>
      <t>y</t>
    </r>
    <r>
      <rPr>
        <b/>
        <sz val="12"/>
        <color theme="1"/>
        <rFont val="Times New Roman"/>
        <family val="1"/>
      </rPr>
      <t xml:space="preserve"> (Rathje and Saygili, 2009):</t>
    </r>
  </si>
  <si>
    <r>
      <t>Warning when computing k</t>
    </r>
    <r>
      <rPr>
        <b/>
        <vertAlign val="subscript"/>
        <sz val="12"/>
        <color theme="1"/>
        <rFont val="Times New Roman"/>
        <family val="1"/>
      </rPr>
      <t>y</t>
    </r>
    <r>
      <rPr>
        <b/>
        <sz val="12"/>
        <color theme="1"/>
        <rFont val="Times New Roman"/>
        <family val="1"/>
      </rPr>
      <t xml:space="preserve"> values(only applicable for the Rathje and Saygili 2009 method):</t>
    </r>
  </si>
  <si>
    <t>Mapped/Interpolated Reference Values:</t>
  </si>
  <si>
    <t>Kristin Ulmer</t>
  </si>
  <si>
    <t>Brian Peterson</t>
  </si>
  <si>
    <t>Lucy Astorga</t>
  </si>
  <si>
    <t>Braden Error</t>
  </si>
  <si>
    <t>Dr. Kevin Franke</t>
  </si>
  <si>
    <t>Levi Ekstrom</t>
  </si>
  <si>
    <t>Designer:</t>
  </si>
  <si>
    <r>
      <rPr>
        <i/>
        <sz val="9"/>
        <color theme="1"/>
        <rFont val="Times New Roman"/>
        <family val="1"/>
      </rPr>
      <t>Log</t>
    </r>
    <r>
      <rPr>
        <i/>
        <sz val="11"/>
        <color theme="1"/>
        <rFont val="Times New Roman"/>
        <family val="2"/>
      </rPr>
      <t xml:space="preserve"> D</t>
    </r>
    <r>
      <rPr>
        <i/>
        <vertAlign val="subscript"/>
        <sz val="11"/>
        <color theme="1"/>
        <rFont val="Times New Roman"/>
        <family val="2"/>
      </rPr>
      <t>h</t>
    </r>
    <r>
      <rPr>
        <i/>
        <vertAlign val="superscript"/>
        <sz val="11"/>
        <color theme="1"/>
        <rFont val="Times New Roman"/>
        <family val="2"/>
      </rPr>
      <t>ref</t>
    </r>
    <r>
      <rPr>
        <i/>
        <sz val="11"/>
        <color theme="1"/>
        <rFont val="Times New Roman"/>
        <family val="2"/>
      </rPr>
      <t xml:space="preserve"> </t>
    </r>
    <r>
      <rPr>
        <sz val="11"/>
        <color theme="1"/>
        <rFont val="Times New Roman"/>
        <family val="2"/>
      </rPr>
      <t>=</t>
    </r>
  </si>
  <si>
    <t>MSF:</t>
  </si>
  <si>
    <t>MSF Options</t>
  </si>
  <si>
    <r>
      <t>ΔCSR</t>
    </r>
    <r>
      <rPr>
        <vertAlign val="subscript"/>
        <sz val="11"/>
        <color theme="1"/>
        <rFont val="Calibri"/>
        <family val="2"/>
        <scheme val="minor"/>
      </rPr>
      <t>K</t>
    </r>
    <r>
      <rPr>
        <vertAlign val="subscript"/>
        <sz val="11"/>
        <color theme="1"/>
        <rFont val="Symbol"/>
        <family val="1"/>
        <charset val="2"/>
      </rPr>
      <t>s</t>
    </r>
  </si>
  <si>
    <r>
      <t>ΔCSR</t>
    </r>
    <r>
      <rPr>
        <vertAlign val="subscript"/>
        <sz val="11"/>
        <color theme="1"/>
        <rFont val="Calibri"/>
        <family val="2"/>
        <scheme val="minor"/>
      </rPr>
      <t>Fpga</t>
    </r>
  </si>
  <si>
    <r>
      <t>ΔCSR</t>
    </r>
    <r>
      <rPr>
        <vertAlign val="subscript"/>
        <sz val="11"/>
        <color theme="1"/>
        <rFont val="Calibri"/>
        <family val="2"/>
        <scheme val="minor"/>
      </rPr>
      <t>rd</t>
    </r>
  </si>
  <si>
    <r>
      <rPr>
        <sz val="11"/>
        <color theme="1"/>
        <rFont val="Times New Roman"/>
        <family val="1"/>
      </rPr>
      <t>ΔCSR</t>
    </r>
    <r>
      <rPr>
        <vertAlign val="subscript"/>
        <sz val="11"/>
        <color theme="1"/>
        <rFont val="Symbol"/>
        <family val="1"/>
        <charset val="2"/>
      </rPr>
      <t>s</t>
    </r>
  </si>
  <si>
    <r>
      <rPr>
        <sz val="11"/>
        <color theme="1"/>
        <rFont val="Calibri"/>
        <family val="2"/>
      </rPr>
      <t>Δ</t>
    </r>
    <r>
      <rPr>
        <sz val="11"/>
        <color theme="1"/>
        <rFont val="Times New Roman"/>
        <family val="2"/>
      </rPr>
      <t>CSR</t>
    </r>
    <r>
      <rPr>
        <vertAlign val="subscript"/>
        <sz val="11"/>
        <color theme="1"/>
        <rFont val="Times New Roman"/>
        <family val="1"/>
      </rPr>
      <t>MSF</t>
    </r>
  </si>
  <si>
    <r>
      <t>MSF</t>
    </r>
    <r>
      <rPr>
        <vertAlign val="subscript"/>
        <sz val="12"/>
        <color theme="1"/>
        <rFont val="Times New Roman"/>
        <family val="1"/>
      </rPr>
      <t>max</t>
    </r>
    <r>
      <rPr>
        <vertAlign val="superscript"/>
        <sz val="12"/>
        <color theme="1"/>
        <rFont val="Times New Roman"/>
        <family val="1"/>
      </rPr>
      <t>ref</t>
    </r>
  </si>
  <si>
    <r>
      <t>MSF</t>
    </r>
    <r>
      <rPr>
        <vertAlign val="subscript"/>
        <sz val="12"/>
        <color theme="1"/>
        <rFont val="Times New Roman"/>
        <family val="1"/>
      </rPr>
      <t>site</t>
    </r>
    <r>
      <rPr>
        <vertAlign val="superscript"/>
        <sz val="12"/>
        <color theme="1"/>
        <rFont val="Times New Roman"/>
        <family val="1"/>
      </rPr>
      <t>max</t>
    </r>
  </si>
  <si>
    <t>Idriss and Boulanger (2014) Simplified MSF Correction Factors</t>
  </si>
  <si>
    <t>A Simplified, Performance-based Tool for Estimating Liquefaction Hazard, Settlement, Lateral Spread, and Seismic Slope Stability</t>
  </si>
  <si>
    <t>Simplified Performance-based Liquefaction Analysis Tool                            "SPLiq"</t>
  </si>
  <si>
    <t>Example Problem</t>
  </si>
  <si>
    <t>[CL]_Clay</t>
  </si>
  <si>
    <t>Salt Lake City, UT</t>
  </si>
  <si>
    <t>GEO Company</t>
  </si>
  <si>
    <t>BME</t>
  </si>
  <si>
    <t>Granular Fill</t>
  </si>
  <si>
    <t>Version</t>
  </si>
  <si>
    <t>Change</t>
  </si>
  <si>
    <t>Added a "Version Notes" Sheet</t>
  </si>
  <si>
    <t>Liquefaction Initiation &amp; Settlement:</t>
  </si>
  <si>
    <t>Removed settlement-specific analysis selections on "Inputs" sheet. Settlement will now automatically compute and display when Liquefaction Initiation is computed</t>
  </si>
  <si>
    <t>B&amp;I/I&amp;Y:</t>
  </si>
  <si>
    <t>MSF (2014 or 2012) analysis selection relocated to "Ground Motion Parameters" section on "Inputs" sheet.</t>
  </si>
  <si>
    <t>"Site Liquefaction/Slope Disp. Parameters" section on "Inputs" sheet renamed to "Ground Motion Parameters"</t>
  </si>
  <si>
    <t>Adjusted several comment hover box sizes so that entire comment could be read. Some comment boxes were too small.</t>
  </si>
  <si>
    <t>Removed ky input on "Deterministic Analysis Parametes" section on the "Inputs" sheet. Ky now only needs to be input once on the "Inputs" sheet.</t>
  </si>
  <si>
    <t>Added clarifying comment that M_w is the MEAN magnitude when input into "Ground Motion Parameters" section on "Inputs" sheet</t>
  </si>
  <si>
    <t>Changed how C_sigma is calculated on the "Det Liquefaction Initiation" Sheet; C_sigma is now calculated from (N1)60cs</t>
  </si>
  <si>
    <t>BETA1.92</t>
  </si>
  <si>
    <t>BETA1.91</t>
  </si>
  <si>
    <t>1.0</t>
  </si>
  <si>
    <t>Removed BETA tag.</t>
  </si>
  <si>
    <t>Fixed Formula Error in calculating DETERMINISTIC CRR in Det Liquefaction Initiation</t>
  </si>
  <si>
    <t>Fixed Formula Error in calculating equivalent strains for liquefaction settlement</t>
  </si>
  <si>
    <t>Removed Interpolation tool, Reference Hazard Values are now obtained through online database.</t>
  </si>
  <si>
    <t>1.1.01</t>
  </si>
  <si>
    <t>Fixed minor formatting issues; locked some cells making them unavailable for changes</t>
  </si>
  <si>
    <t>Fixed drop down box that allows for selection of return period</t>
  </si>
  <si>
    <t>This program has not yet been tested or peer reviewed for accuracy. By using this program, the user agrees to full responsibility for any damages or liability that result from the use of this program or data herein.  The authors are not liable for any damages or liability ensuing as a result of the use of this program or data obtained from this program.</t>
  </si>
  <si>
    <t>Added instructions on "Inputs" tab on how to access updated USGS deaggregation data</t>
  </si>
  <si>
    <t>Fixed a bug where T15 could not be changed for lateral spread analyses</t>
  </si>
  <si>
    <t>Updated hyperlink that allows users to access online reference parameter maps by clicking on blue button</t>
  </si>
  <si>
    <t>Date</t>
  </si>
  <si>
    <t>Vs,12 input cell is now grayed out if Cetin triggering model is set to "FALSE"</t>
  </si>
  <si>
    <t>Fixed a bug that displayed "#REF!" on the Seismic slope Inputs for Deterministic Analysis on the Final Summary Tab.</t>
  </si>
  <si>
    <t>Made the depth scale on settlment plots on "Final Summary Tab" to the same scale as other plots</t>
  </si>
  <si>
    <t>Fixed a simplified performance-based seismic slope displacement calculation for Rathje and Saygili model</t>
  </si>
  <si>
    <t>Fixed equation in PB Settlement to multiply approximate site strains by Probability of Liquefaction</t>
  </si>
  <si>
    <r>
      <t>ε</t>
    </r>
    <r>
      <rPr>
        <vertAlign val="subscript"/>
        <sz val="11"/>
        <color theme="1"/>
        <rFont val="Times New Roman"/>
        <family val="1"/>
      </rPr>
      <t>v,IY</t>
    </r>
    <r>
      <rPr>
        <vertAlign val="superscript"/>
        <sz val="11"/>
        <color theme="1"/>
        <rFont val="Times New Roman"/>
        <family val="1"/>
      </rPr>
      <t xml:space="preserve">ref </t>
    </r>
    <r>
      <rPr>
        <sz val="11"/>
        <color theme="1"/>
        <rFont val="Times New Roman"/>
        <family val="1"/>
      </rPr>
      <t>(%):</t>
    </r>
  </si>
  <si>
    <r>
      <t>ε</t>
    </r>
    <r>
      <rPr>
        <vertAlign val="subscript"/>
        <sz val="11"/>
        <color theme="1"/>
        <rFont val="Times New Roman"/>
        <family val="1"/>
      </rPr>
      <t>v,Cetin</t>
    </r>
    <r>
      <rPr>
        <vertAlign val="superscript"/>
        <sz val="11"/>
        <color theme="1"/>
        <rFont val="Times New Roman"/>
        <family val="1"/>
      </rPr>
      <t xml:space="preserve">ref </t>
    </r>
    <r>
      <rPr>
        <sz val="11"/>
        <color theme="1"/>
        <rFont val="Times New Roman"/>
        <family val="1"/>
      </rPr>
      <t>(%):</t>
    </r>
  </si>
  <si>
    <t>For 2014 MSF Factor</t>
  </si>
  <si>
    <r>
      <t>MSF</t>
    </r>
    <r>
      <rPr>
        <i/>
        <vertAlign val="subscript"/>
        <sz val="12"/>
        <color theme="1"/>
        <rFont val="Times New Roman"/>
        <family val="1"/>
      </rPr>
      <t>max</t>
    </r>
  </si>
  <si>
    <t>Fixed a bug that would not allow the geometry type to be changed for lateral spread displacement assessment</t>
  </si>
  <si>
    <t>Fixed a bug in how ground surface settlements were calculated in both PB Settlement and Det Settlement tab</t>
  </si>
  <si>
    <t>Updated the hyperlink for the Reference Map Database button on the "Inputs" tab</t>
  </si>
  <si>
    <t>Deterministic Liquefaction Triggering using Boulanger &amp; Idriss (2008, 2014)</t>
  </si>
  <si>
    <t>Design Water Table Depth =</t>
  </si>
  <si>
    <t>N (bpf)</t>
  </si>
  <si>
    <t>At Time of Drilling</t>
  </si>
  <si>
    <t>Design</t>
  </si>
  <si>
    <t>Water Level at Time of Drilling =</t>
  </si>
  <si>
    <t>Updated hyperlink for the Reference Map Database.</t>
  </si>
  <si>
    <t xml:space="preserve">Provide Cells on Inputs tab that allows for conversion to Standard SPT from Non-standard sampler sizes. </t>
  </si>
  <si>
    <t>Included a Water Table at time of drilling, and Design Ground Water Depth</t>
  </si>
  <si>
    <t xml:space="preserve">L = Standard Split Spoon
NL = Room for liners, but no liners
</t>
  </si>
  <si>
    <t>Custom Factor</t>
  </si>
  <si>
    <t>Convert SPT N Custom Factor:</t>
  </si>
  <si>
    <t>Standard SS (2-in OD)</t>
  </si>
  <si>
    <t>Non-Standard (3-in OD)</t>
  </si>
  <si>
    <t>Non-Standard (2.5-in OD)</t>
  </si>
  <si>
    <t>D&amp;M SS (3.25-in OD)</t>
  </si>
  <si>
    <t>Ground Motion Parameters:</t>
  </si>
  <si>
    <r>
      <t>1 = Calculate F</t>
    </r>
    <r>
      <rPr>
        <vertAlign val="subscript"/>
        <sz val="10"/>
        <color theme="1"/>
        <rFont val="Times New Roman"/>
        <family val="2"/>
      </rPr>
      <t>PGA</t>
    </r>
    <r>
      <rPr>
        <sz val="11"/>
        <color theme="1"/>
        <rFont val="Times New Roman"/>
        <family val="1"/>
      </rPr>
      <t xml:space="preserve"> Automatically</t>
    </r>
    <r>
      <rPr>
        <sz val="10"/>
        <color theme="1"/>
        <rFont val="Times New Roman"/>
        <family val="2"/>
      </rPr>
      <t xml:space="preserve">
</t>
    </r>
  </si>
  <si>
    <r>
      <t>2 = User-defined F</t>
    </r>
    <r>
      <rPr>
        <vertAlign val="subscript"/>
        <sz val="11"/>
        <color theme="1"/>
        <rFont val="Times New Roman"/>
        <family val="1"/>
      </rPr>
      <t>PGA</t>
    </r>
    <r>
      <rPr>
        <sz val="11"/>
        <color theme="1"/>
        <rFont val="Times New Roman"/>
        <family val="2"/>
      </rPr>
      <t xml:space="preserve"> value </t>
    </r>
    <r>
      <rPr>
        <sz val="9"/>
        <color theme="1"/>
        <rFont val="Times New Roman"/>
        <family val="1"/>
      </rPr>
      <t>entered in box above</t>
    </r>
  </si>
  <si>
    <t>Correct SPT N for Non-Standard Sampler Sizes (default relationship is LaCroix and Horn):</t>
  </si>
  <si>
    <t>Liner Type</t>
  </si>
  <si>
    <t>Added clarifying comment in the "Sampler Type" column on the "Inputs" tab.</t>
  </si>
  <si>
    <t>Renamed cell title for cell L23 to "Liner Type"</t>
  </si>
  <si>
    <t>Adjusted note 2 by the "Reference Map Database" button.</t>
  </si>
  <si>
    <t>Added Sampler type column to "Final Summary" tab.</t>
  </si>
  <si>
    <t>Changed the units type to reflect meters instead of feet when SI units are selected.</t>
  </si>
  <si>
    <t xml:space="preserve">**Maximum of 20 Sublayers** </t>
  </si>
  <si>
    <t>Version: 1.42</t>
  </si>
  <si>
    <t>November 2021</t>
  </si>
  <si>
    <t>Updated the hyperlink for the Reference Map Database button on the "Inputs" tab; removed Hidden worksheet; adjusted default zoom on Input and Final Summary Sheets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</si>
</sst>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5" formatCode="0.0"/>
    <numFmt numFmtId="166" formatCode="0.0000"/>
    <numFmt numFmtId="167" formatCode="0.00000"/>
    <numFmt numFmtId="168" formatCode="0.000000000"/>
  </numFmts>
  <fonts count="71" x14ac:knownFonts="1">
    <font>
      <sz val="12"/>
      <color theme="1"/>
      <name val="Times New Roman"/>
      <family val="2"/>
    </font>
    <font>
      <sz val="11"/>
      <color theme="1"/>
      <name val="Calibri"/>
      <family val="2"/>
      <scheme val="minor"/>
    </font>
    <font>
      <b/>
      <sz val="12"/>
      <color theme="1"/>
      <name val="Times New Roman"/>
      <family val="1"/>
    </font>
    <font>
      <vertAlign val="subscript"/>
      <sz val="11"/>
      <color theme="1"/>
      <name val="Calibri"/>
      <family val="2"/>
      <scheme val="minor"/>
    </font>
    <font>
      <sz val="11"/>
      <color theme="1"/>
      <name val="Symbol"/>
      <family val="1"/>
      <charset val="2"/>
    </font>
    <font>
      <vertAlign val="superscript"/>
      <sz val="11"/>
      <color theme="1"/>
      <name val="Calibri"/>
      <family val="2"/>
      <scheme val="minor"/>
    </font>
    <font>
      <sz val="9"/>
      <color indexed="81"/>
      <name val="Tahoma"/>
      <family val="2"/>
    </font>
    <font>
      <b/>
      <sz val="9"/>
      <color indexed="81"/>
      <name val="Tahoma"/>
      <family val="2"/>
    </font>
    <font>
      <sz val="12"/>
      <color theme="1"/>
      <name val="Times New Roman"/>
      <family val="1"/>
    </font>
    <font>
      <b/>
      <sz val="11"/>
      <color rgb="FF002060"/>
      <name val="Calibri"/>
      <family val="2"/>
      <scheme val="minor"/>
    </font>
    <font>
      <sz val="11"/>
      <color theme="1"/>
      <name val="Calibri"/>
      <family val="2"/>
    </font>
    <font>
      <vertAlign val="subscript"/>
      <sz val="11"/>
      <color theme="1"/>
      <name val="Calibri"/>
      <family val="2"/>
    </font>
    <font>
      <sz val="11"/>
      <color theme="1"/>
      <name val="Times New Roman"/>
      <family val="1"/>
    </font>
    <font>
      <vertAlign val="subscript"/>
      <sz val="11"/>
      <color theme="1"/>
      <name val="Symbol"/>
      <family val="1"/>
      <charset val="2"/>
    </font>
    <font>
      <sz val="11"/>
      <color theme="1"/>
      <name val="Times New Roman"/>
      <family val="2"/>
    </font>
    <font>
      <vertAlign val="subscript"/>
      <sz val="12"/>
      <color theme="1"/>
      <name val="Times New Roman"/>
      <family val="1"/>
    </font>
    <font>
      <vertAlign val="subscript"/>
      <sz val="11"/>
      <color theme="1"/>
      <name val="Times New Roman"/>
      <family val="1"/>
    </font>
    <font>
      <b/>
      <sz val="11"/>
      <color theme="1"/>
      <name val="Times New Roman"/>
      <family val="1"/>
    </font>
    <font>
      <b/>
      <vertAlign val="subscript"/>
      <sz val="11"/>
      <color theme="1"/>
      <name val="Times New Roman"/>
      <family val="1"/>
    </font>
    <font>
      <sz val="10"/>
      <color rgb="FF000000"/>
      <name val="Times New Roman"/>
      <family val="1"/>
    </font>
    <font>
      <i/>
      <sz val="10"/>
      <color rgb="FF000000"/>
      <name val="Times New Roman"/>
      <family val="1"/>
    </font>
    <font>
      <i/>
      <vertAlign val="subscript"/>
      <sz val="10"/>
      <color rgb="FF000000"/>
      <name val="Times New Roman"/>
      <family val="1"/>
    </font>
    <font>
      <sz val="12"/>
      <color rgb="FFFF0000"/>
      <name val="Times New Roman"/>
      <family val="2"/>
    </font>
    <font>
      <i/>
      <sz val="11"/>
      <color theme="1"/>
      <name val="Times New Roman"/>
      <family val="1"/>
    </font>
    <font>
      <i/>
      <vertAlign val="subscript"/>
      <sz val="11"/>
      <color theme="1"/>
      <name val="Times New Roman"/>
      <family val="1"/>
    </font>
    <font>
      <b/>
      <sz val="11"/>
      <color theme="1"/>
      <name val="Times New Roman"/>
      <family val="2"/>
    </font>
    <font>
      <i/>
      <sz val="11"/>
      <color theme="1"/>
      <name val="Times New Roman"/>
      <family val="2"/>
    </font>
    <font>
      <i/>
      <vertAlign val="superscript"/>
      <sz val="11"/>
      <color theme="1"/>
      <name val="Times New Roman"/>
      <family val="2"/>
    </font>
    <font>
      <i/>
      <vertAlign val="subscript"/>
      <sz val="11"/>
      <color theme="1"/>
      <name val="Times New Roman"/>
      <family val="2"/>
    </font>
    <font>
      <vertAlign val="superscript"/>
      <sz val="12"/>
      <color theme="1"/>
      <name val="Times New Roman"/>
      <family val="1"/>
    </font>
    <font>
      <vertAlign val="subscript"/>
      <sz val="11"/>
      <color theme="1"/>
      <name val="Times New Roman"/>
      <family val="2"/>
    </font>
    <font>
      <sz val="11"/>
      <name val="Times New Roman"/>
      <family val="1"/>
    </font>
    <font>
      <i/>
      <vertAlign val="superscript"/>
      <sz val="11"/>
      <color theme="1"/>
      <name val="Times New Roman"/>
      <family val="1"/>
    </font>
    <font>
      <sz val="10"/>
      <color theme="1"/>
      <name val="Times New Roman"/>
      <family val="2"/>
    </font>
    <font>
      <i/>
      <sz val="10"/>
      <color theme="1"/>
      <name val="Times New Roman"/>
      <family val="2"/>
    </font>
    <font>
      <sz val="10"/>
      <color theme="1"/>
      <name val="Times New Roman"/>
      <family val="1"/>
    </font>
    <font>
      <sz val="12"/>
      <color theme="1"/>
      <name val="Calibri"/>
      <family val="2"/>
    </font>
    <font>
      <sz val="11"/>
      <name val="Times New Roman"/>
      <family val="2"/>
    </font>
    <font>
      <b/>
      <sz val="14"/>
      <color theme="1"/>
      <name val="Times New Roman"/>
      <family val="1"/>
    </font>
    <font>
      <b/>
      <sz val="9"/>
      <color theme="1"/>
      <name val="Times New Roman"/>
      <family val="1"/>
    </font>
    <font>
      <b/>
      <vertAlign val="subscript"/>
      <sz val="12"/>
      <color theme="1"/>
      <name val="Times New Roman"/>
      <family val="1"/>
    </font>
    <font>
      <b/>
      <sz val="16"/>
      <color theme="1"/>
      <name val="Times New Roman"/>
      <family val="1"/>
    </font>
    <font>
      <b/>
      <u/>
      <sz val="11"/>
      <color theme="1"/>
      <name val="Times New Roman"/>
      <family val="1"/>
    </font>
    <font>
      <sz val="10"/>
      <name val="Times New Roman"/>
      <family val="1"/>
    </font>
    <font>
      <vertAlign val="subscript"/>
      <sz val="9"/>
      <color indexed="81"/>
      <name val="Tahoma"/>
      <family val="2"/>
    </font>
    <font>
      <sz val="12"/>
      <name val="Times New Roman"/>
      <family val="2"/>
    </font>
    <font>
      <b/>
      <sz val="14"/>
      <name val="Times New Roman"/>
      <family val="2"/>
    </font>
    <font>
      <vertAlign val="subscript"/>
      <sz val="10"/>
      <color theme="1"/>
      <name val="Times New Roman"/>
      <family val="2"/>
    </font>
    <font>
      <vertAlign val="superscript"/>
      <sz val="11"/>
      <color theme="1"/>
      <name val="Times New Roman"/>
      <family val="1"/>
    </font>
    <font>
      <vertAlign val="superscript"/>
      <sz val="11"/>
      <color theme="1"/>
      <name val="Calibri"/>
      <family val="2"/>
    </font>
    <font>
      <b/>
      <sz val="11"/>
      <color theme="4" tint="-0.499984740745262"/>
      <name val="Times New Roman"/>
      <family val="1"/>
    </font>
    <font>
      <b/>
      <sz val="11"/>
      <color rgb="FF002060"/>
      <name val="Times New Roman"/>
      <family val="1"/>
    </font>
    <font>
      <sz val="12"/>
      <color rgb="FF002060"/>
      <name val="Times New Roman"/>
      <family val="2"/>
    </font>
    <font>
      <sz val="9"/>
      <color theme="1"/>
      <name val="Times New Roman"/>
      <family val="1"/>
    </font>
    <font>
      <sz val="9"/>
      <color theme="1"/>
      <name val="Times New Roman"/>
      <family val="2"/>
    </font>
    <font>
      <vertAlign val="subscript"/>
      <sz val="9"/>
      <color theme="1"/>
      <name val="Times New Roman"/>
      <family val="2"/>
    </font>
    <font>
      <sz val="9"/>
      <name val="Times New Roman"/>
      <family val="2"/>
    </font>
    <font>
      <vertAlign val="subscript"/>
      <sz val="9"/>
      <name val="Times New Roman"/>
      <family val="2"/>
    </font>
    <font>
      <i/>
      <sz val="10.5"/>
      <color theme="1"/>
      <name val="Times New Roman"/>
      <family val="1"/>
    </font>
    <font>
      <i/>
      <vertAlign val="subscript"/>
      <sz val="10.5"/>
      <color theme="1"/>
      <name val="Times New Roman"/>
      <family val="1"/>
    </font>
    <font>
      <i/>
      <vertAlign val="superscript"/>
      <sz val="10.5"/>
      <color theme="1"/>
      <name val="Times New Roman"/>
      <family val="1"/>
    </font>
    <font>
      <sz val="10.5"/>
      <color theme="1"/>
      <name val="Times New Roman"/>
      <family val="1"/>
    </font>
    <font>
      <b/>
      <u/>
      <sz val="12"/>
      <color theme="1"/>
      <name val="Times New Roman"/>
      <family val="1"/>
    </font>
    <font>
      <i/>
      <sz val="9"/>
      <color theme="1"/>
      <name val="Times New Roman"/>
      <family val="1"/>
    </font>
    <font>
      <sz val="11"/>
      <color theme="0"/>
      <name val="Times New Roman"/>
      <family val="1"/>
    </font>
    <font>
      <sz val="12"/>
      <color theme="0"/>
      <name val="Times New Roman"/>
      <family val="1"/>
    </font>
    <font>
      <i/>
      <sz val="12"/>
      <color theme="1"/>
      <name val="Times New Roman"/>
      <family val="1"/>
    </font>
    <font>
      <i/>
      <vertAlign val="subscript"/>
      <sz val="12"/>
      <color theme="1"/>
      <name val="Times New Roman"/>
      <family val="1"/>
    </font>
    <font>
      <sz val="10"/>
      <name val="Times New Roman"/>
      <family val="2"/>
    </font>
    <font>
      <sz val="9"/>
      <color indexed="81"/>
      <name val="Tahoma"/>
      <charset val="1"/>
    </font>
    <font>
      <sz val="8"/>
      <color theme="1"/>
      <name val="Times New Roman"/>
      <family val="1"/>
    </font>
  </fonts>
  <fills count="20">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lightTrellis">
        <fgColor theme="8" tint="0.39991454817346722"/>
        <bgColor theme="8" tint="0.79992065187536243"/>
      </patternFill>
    </fill>
    <fill>
      <patternFill patternType="lightTrellis">
        <fgColor theme="8" tint="0.39994506668294322"/>
        <bgColor theme="8" tint="0.79995117038483843"/>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1"/>
        <bgColor indexed="64"/>
      </patternFill>
    </fill>
    <fill>
      <patternFill patternType="solid">
        <fgColor rgb="FFE9D7FD"/>
        <bgColor indexed="64"/>
      </patternFill>
    </fill>
    <fill>
      <patternFill patternType="solid">
        <fgColor rgb="FFFFCDCD"/>
        <bgColor indexed="64"/>
      </patternFill>
    </fill>
    <fill>
      <patternFill patternType="solid">
        <fgColor rgb="FF00B0F0"/>
        <bgColor indexed="64"/>
      </patternFill>
    </fill>
    <fill>
      <patternFill patternType="solid">
        <fgColor theme="6" tint="0.59999389629810485"/>
        <bgColor indexed="64"/>
      </patternFill>
    </fill>
    <fill>
      <patternFill patternType="solid">
        <fgColor rgb="FFE1C8FC"/>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diagonal/>
    </border>
    <border>
      <left/>
      <right/>
      <top/>
      <bottom style="medium">
        <color indexed="64"/>
      </bottom>
      <diagonal/>
    </border>
    <border>
      <left/>
      <right/>
      <top style="medium">
        <color indexed="64"/>
      </top>
      <bottom/>
      <diagonal/>
    </border>
    <border>
      <left/>
      <right/>
      <top style="medium">
        <color indexed="64"/>
      </top>
      <bottom style="medium">
        <color indexed="64"/>
      </bottom>
      <diagonal/>
    </border>
    <border>
      <left/>
      <right/>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bottom style="thin">
        <color indexed="64"/>
      </bottom>
      <diagonal/>
    </border>
    <border>
      <left style="slantDashDot">
        <color indexed="64"/>
      </left>
      <right/>
      <top/>
      <bottom/>
      <diagonal/>
    </border>
    <border>
      <left/>
      <right style="slantDashDot">
        <color auto="1"/>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673">
    <xf numFmtId="0" fontId="0" fillId="0" borderId="0" xfId="0"/>
    <xf numFmtId="0" fontId="0" fillId="0" borderId="0" xfId="0" applyBorder="1"/>
    <xf numFmtId="0" fontId="2" fillId="0" borderId="0" xfId="0" applyFont="1"/>
    <xf numFmtId="0" fontId="0" fillId="0" borderId="10" xfId="0" applyBorder="1" applyAlignment="1">
      <alignment horizontal="center"/>
    </xf>
    <xf numFmtId="0" fontId="0" fillId="0" borderId="11" xfId="0" applyBorder="1" applyAlignment="1">
      <alignment horizontal="center"/>
    </xf>
    <xf numFmtId="0" fontId="9" fillId="0" borderId="0" xfId="0" applyFont="1"/>
    <xf numFmtId="0" fontId="9" fillId="0" borderId="0" xfId="0" applyFont="1" applyAlignment="1">
      <alignment horizontal="center"/>
    </xf>
    <xf numFmtId="0" fontId="10" fillId="0" borderId="0" xfId="0" applyFont="1"/>
    <xf numFmtId="164" fontId="0" fillId="0" borderId="0" xfId="0" applyNumberFormat="1"/>
    <xf numFmtId="0" fontId="10" fillId="0" borderId="11" xfId="0" applyFont="1" applyBorder="1" applyAlignment="1">
      <alignment horizontal="center"/>
    </xf>
    <xf numFmtId="0" fontId="9" fillId="0" borderId="0" xfId="0" applyFont="1" applyBorder="1" applyAlignment="1">
      <alignment horizontal="center"/>
    </xf>
    <xf numFmtId="0" fontId="9" fillId="0" borderId="8" xfId="0" applyFont="1" applyBorder="1" applyAlignment="1">
      <alignment horizontal="center"/>
    </xf>
    <xf numFmtId="0" fontId="0" fillId="0" borderId="15" xfId="0" applyBorder="1" applyAlignment="1">
      <alignment horizontal="center"/>
    </xf>
    <xf numFmtId="166" fontId="0" fillId="0" borderId="0" xfId="0" applyNumberFormat="1"/>
    <xf numFmtId="165" fontId="0" fillId="0" borderId="0" xfId="0" applyNumberFormat="1"/>
    <xf numFmtId="0" fontId="9" fillId="0" borderId="3" xfId="0" applyFont="1" applyBorder="1" applyAlignment="1">
      <alignment horizontal="center"/>
    </xf>
    <xf numFmtId="0" fontId="0" fillId="0" borderId="0" xfId="0" applyAlignment="1">
      <alignment horizontal="right"/>
    </xf>
    <xf numFmtId="2" fontId="14" fillId="4" borderId="0" xfId="0" applyNumberFormat="1" applyFont="1" applyFill="1" applyBorder="1" applyAlignment="1">
      <alignment horizontal="center"/>
    </xf>
    <xf numFmtId="166" fontId="14" fillId="4" borderId="0" xfId="0" applyNumberFormat="1" applyFont="1" applyFill="1" applyBorder="1" applyAlignment="1">
      <alignment horizontal="center"/>
    </xf>
    <xf numFmtId="164" fontId="14" fillId="3" borderId="0" xfId="0" applyNumberFormat="1" applyFont="1" applyFill="1" applyBorder="1" applyAlignment="1">
      <alignment horizontal="center"/>
    </xf>
    <xf numFmtId="2" fontId="14" fillId="4" borderId="8" xfId="0" applyNumberFormat="1" applyFont="1" applyFill="1" applyBorder="1" applyAlignment="1">
      <alignment horizontal="center"/>
    </xf>
    <xf numFmtId="166" fontId="14" fillId="4" borderId="8" xfId="0" applyNumberFormat="1" applyFont="1" applyFill="1" applyBorder="1" applyAlignment="1">
      <alignment horizontal="center"/>
    </xf>
    <xf numFmtId="0" fontId="14" fillId="0" borderId="0" xfId="0" applyFont="1" applyAlignment="1">
      <alignment horizontal="center"/>
    </xf>
    <xf numFmtId="0" fontId="14" fillId="0" borderId="10" xfId="0" applyFont="1" applyBorder="1" applyAlignment="1">
      <alignment horizontal="center"/>
    </xf>
    <xf numFmtId="0" fontId="14" fillId="0" borderId="11" xfId="0" applyFont="1" applyBorder="1" applyAlignment="1">
      <alignment horizontal="center"/>
    </xf>
    <xf numFmtId="0" fontId="14" fillId="0" borderId="13" xfId="0" applyFont="1" applyBorder="1" applyAlignment="1">
      <alignment horizontal="center"/>
    </xf>
    <xf numFmtId="0" fontId="14" fillId="0" borderId="15" xfId="0" applyFont="1" applyBorder="1" applyAlignment="1">
      <alignment horizontal="center"/>
    </xf>
    <xf numFmtId="0" fontId="14" fillId="0" borderId="16" xfId="0" applyFont="1" applyBorder="1" applyAlignment="1">
      <alignment horizontal="center"/>
    </xf>
    <xf numFmtId="0" fontId="14" fillId="0" borderId="0" xfId="0" applyFont="1"/>
    <xf numFmtId="2" fontId="14" fillId="0" borderId="0" xfId="0" applyNumberFormat="1" applyFont="1" applyAlignment="1">
      <alignment horizontal="center"/>
    </xf>
    <xf numFmtId="164" fontId="14" fillId="0" borderId="0" xfId="0" applyNumberFormat="1" applyFont="1" applyAlignment="1">
      <alignment horizontal="center"/>
    </xf>
    <xf numFmtId="0" fontId="14" fillId="0" borderId="0" xfId="0" applyFont="1" applyAlignment="1">
      <alignment horizontal="right"/>
    </xf>
    <xf numFmtId="0" fontId="14" fillId="0" borderId="8" xfId="0" applyFont="1" applyBorder="1" applyAlignment="1">
      <alignment horizontal="center"/>
    </xf>
    <xf numFmtId="0" fontId="14" fillId="0" borderId="0" xfId="0" applyFont="1" applyBorder="1" applyAlignment="1">
      <alignment horizontal="center"/>
    </xf>
    <xf numFmtId="0" fontId="17" fillId="0" borderId="0" xfId="0" applyFont="1"/>
    <xf numFmtId="2" fontId="9" fillId="0" borderId="0" xfId="0" applyNumberFormat="1" applyFont="1" applyBorder="1" applyAlignment="1">
      <alignment horizontal="center"/>
    </xf>
    <xf numFmtId="0" fontId="14" fillId="0" borderId="3" xfId="0" applyFont="1" applyBorder="1" applyAlignment="1">
      <alignment horizontal="center"/>
    </xf>
    <xf numFmtId="0" fontId="14" fillId="0" borderId="0" xfId="0" quotePrefix="1" applyFont="1" applyAlignment="1">
      <alignment horizontal="center" vertical="center"/>
    </xf>
    <xf numFmtId="0" fontId="14" fillId="0" borderId="0" xfId="0" applyFont="1" applyFill="1" applyAlignment="1">
      <alignment horizontal="center"/>
    </xf>
    <xf numFmtId="0" fontId="14" fillId="0" borderId="8" xfId="0" applyFont="1" applyFill="1" applyBorder="1" applyAlignment="1">
      <alignment horizontal="center"/>
    </xf>
    <xf numFmtId="0" fontId="19" fillId="0" borderId="18" xfId="0" applyFont="1" applyBorder="1" applyAlignment="1">
      <alignment horizontal="center" vertical="center" wrapText="1"/>
    </xf>
    <xf numFmtId="0" fontId="19" fillId="0" borderId="0" xfId="0" applyFont="1" applyAlignment="1">
      <alignment horizontal="center" vertical="center" wrapText="1"/>
    </xf>
    <xf numFmtId="0" fontId="12" fillId="0" borderId="0" xfId="0" applyFont="1" applyAlignment="1">
      <alignment horizontal="center"/>
    </xf>
    <xf numFmtId="0" fontId="12" fillId="0" borderId="0" xfId="0" applyFont="1"/>
    <xf numFmtId="166" fontId="14" fillId="0" borderId="0" xfId="0" applyNumberFormat="1" applyFont="1" applyBorder="1" applyAlignment="1">
      <alignment horizontal="center"/>
    </xf>
    <xf numFmtId="2" fontId="9" fillId="0" borderId="8" xfId="0" applyNumberFormat="1" applyFont="1" applyBorder="1" applyAlignment="1">
      <alignment horizontal="center"/>
    </xf>
    <xf numFmtId="2" fontId="14" fillId="3" borderId="0" xfId="0" applyNumberFormat="1" applyFont="1" applyFill="1" applyBorder="1" applyAlignment="1">
      <alignment horizontal="center"/>
    </xf>
    <xf numFmtId="0" fontId="14" fillId="0" borderId="0" xfId="0" applyFont="1" applyAlignment="1">
      <alignment horizontal="right" vertical="center"/>
    </xf>
    <xf numFmtId="0" fontId="14" fillId="0" borderId="1" xfId="0" applyFont="1" applyBorder="1" applyAlignment="1">
      <alignment horizontal="center" vertical="center"/>
    </xf>
    <xf numFmtId="0" fontId="17" fillId="0" borderId="0" xfId="0" applyFont="1" applyAlignment="1">
      <alignment vertical="center"/>
    </xf>
    <xf numFmtId="0" fontId="17" fillId="0" borderId="10" xfId="0" applyFont="1" applyFill="1" applyBorder="1" applyAlignment="1">
      <alignment vertical="center"/>
    </xf>
    <xf numFmtId="0" fontId="17" fillId="0" borderId="7" xfId="0" applyFont="1" applyFill="1" applyBorder="1" applyAlignment="1">
      <alignment vertical="center"/>
    </xf>
    <xf numFmtId="0" fontId="17" fillId="0" borderId="0" xfId="0" applyFont="1" applyFill="1" applyBorder="1" applyAlignment="1">
      <alignment horizontal="left" vertical="center"/>
    </xf>
    <xf numFmtId="0" fontId="2" fillId="0" borderId="2" xfId="0" applyFont="1" applyBorder="1"/>
    <xf numFmtId="0" fontId="2" fillId="0" borderId="3" xfId="0" applyFont="1" applyBorder="1"/>
    <xf numFmtId="0" fontId="0" fillId="0" borderId="4" xfId="0" applyBorder="1"/>
    <xf numFmtId="0" fontId="17" fillId="0" borderId="0" xfId="0" applyFont="1" applyAlignment="1">
      <alignment horizontal="center"/>
    </xf>
    <xf numFmtId="0" fontId="0" fillId="0" borderId="5" xfId="0" applyBorder="1" applyAlignment="1">
      <alignment horizontal="right"/>
    </xf>
    <xf numFmtId="0" fontId="0" fillId="2" borderId="0" xfId="0" applyFill="1" applyBorder="1" applyAlignment="1">
      <alignment horizontal="center"/>
    </xf>
    <xf numFmtId="0" fontId="0" fillId="0" borderId="6" xfId="0" applyBorder="1"/>
    <xf numFmtId="0" fontId="2" fillId="0" borderId="5" xfId="0" applyFont="1" applyBorder="1" applyAlignment="1">
      <alignment horizontal="left"/>
    </xf>
    <xf numFmtId="0" fontId="0" fillId="2" borderId="8" xfId="0" applyFill="1" applyBorder="1" applyAlignment="1">
      <alignment horizontal="center"/>
    </xf>
    <xf numFmtId="0" fontId="0" fillId="0" borderId="9" xfId="0" applyBorder="1"/>
    <xf numFmtId="0" fontId="8" fillId="0" borderId="2" xfId="0" applyFont="1" applyBorder="1" applyAlignment="1">
      <alignment horizontal="right" vertical="center"/>
    </xf>
    <xf numFmtId="164" fontId="8" fillId="2" borderId="3" xfId="0" applyNumberFormat="1" applyFont="1" applyFill="1" applyBorder="1" applyAlignment="1">
      <alignment horizontal="center"/>
    </xf>
    <xf numFmtId="164" fontId="2" fillId="2" borderId="22" xfId="0" applyNumberFormat="1" applyFont="1" applyFill="1" applyBorder="1" applyAlignment="1">
      <alignment horizontal="center"/>
    </xf>
    <xf numFmtId="0" fontId="8" fillId="0" borderId="7" xfId="0" applyFont="1" applyBorder="1" applyAlignment="1">
      <alignment horizontal="right" vertical="center"/>
    </xf>
    <xf numFmtId="164" fontId="2" fillId="2" borderId="22" xfId="0" applyNumberFormat="1" applyFont="1" applyFill="1" applyBorder="1" applyAlignment="1">
      <alignment horizontal="center" vertical="center"/>
    </xf>
    <xf numFmtId="0" fontId="14" fillId="0" borderId="0" xfId="0" applyFont="1" applyFill="1" applyAlignment="1">
      <alignment vertical="center" wrapText="1"/>
    </xf>
    <xf numFmtId="0" fontId="14" fillId="0" borderId="0" xfId="0" applyFont="1" applyFill="1" applyAlignment="1">
      <alignment horizontal="right" vertical="center"/>
    </xf>
    <xf numFmtId="0" fontId="14" fillId="0" borderId="1" xfId="0" applyFont="1" applyFill="1" applyBorder="1" applyAlignment="1">
      <alignment horizontal="center" vertical="center"/>
    </xf>
    <xf numFmtId="0" fontId="14" fillId="0" borderId="0" xfId="0" applyFont="1" applyFill="1" applyAlignment="1">
      <alignment vertical="center"/>
    </xf>
    <xf numFmtId="0" fontId="14" fillId="0" borderId="0" xfId="0" applyFont="1" applyFill="1"/>
    <xf numFmtId="0" fontId="14" fillId="0" borderId="0" xfId="0" applyFont="1" applyFill="1" applyAlignment="1">
      <alignment horizontal="right"/>
    </xf>
    <xf numFmtId="0" fontId="14" fillId="0" borderId="1" xfId="0" applyFont="1" applyFill="1" applyBorder="1" applyAlignment="1">
      <alignment horizontal="center"/>
    </xf>
    <xf numFmtId="166" fontId="12" fillId="0" borderId="1" xfId="0" applyNumberFormat="1" applyFont="1" applyFill="1" applyBorder="1" applyAlignment="1">
      <alignment horizontal="center" vertical="center"/>
    </xf>
    <xf numFmtId="165" fontId="12" fillId="0" borderId="1" xfId="0" applyNumberFormat="1" applyFont="1" applyFill="1" applyBorder="1" applyAlignment="1">
      <alignment horizontal="center" vertical="center"/>
    </xf>
    <xf numFmtId="2" fontId="12" fillId="0" borderId="1" xfId="0" applyNumberFormat="1" applyFont="1" applyFill="1" applyBorder="1" applyAlignment="1">
      <alignment horizontal="center" vertical="center"/>
    </xf>
    <xf numFmtId="0" fontId="14" fillId="0" borderId="0" xfId="0" applyFont="1" applyFill="1" applyBorder="1" applyAlignment="1">
      <alignment horizontal="center" vertical="center"/>
    </xf>
    <xf numFmtId="164" fontId="9" fillId="0" borderId="0" xfId="0" applyNumberFormat="1" applyFont="1" applyFill="1"/>
    <xf numFmtId="0" fontId="12" fillId="0" borderId="0" xfId="0" applyFont="1" applyFill="1"/>
    <xf numFmtId="0" fontId="0" fillId="0" borderId="0" xfId="0" applyAlignment="1">
      <alignment horizontal="center"/>
    </xf>
    <xf numFmtId="166" fontId="9" fillId="0" borderId="0" xfId="0" applyNumberFormat="1" applyFont="1" applyAlignment="1">
      <alignment horizontal="right"/>
    </xf>
    <xf numFmtId="0" fontId="14" fillId="0" borderId="11" xfId="0" applyFont="1" applyFill="1" applyBorder="1" applyAlignment="1">
      <alignment horizontal="center"/>
    </xf>
    <xf numFmtId="0" fontId="0" fillId="0" borderId="13" xfId="0" applyBorder="1" applyAlignment="1">
      <alignment horizontal="center"/>
    </xf>
    <xf numFmtId="2" fontId="14" fillId="3" borderId="14" xfId="0" applyNumberFormat="1" applyFont="1" applyFill="1" applyBorder="1" applyAlignment="1">
      <alignment horizontal="center"/>
    </xf>
    <xf numFmtId="166" fontId="14" fillId="0" borderId="17" xfId="0" applyNumberFormat="1" applyFont="1" applyBorder="1" applyAlignment="1">
      <alignment horizontal="center"/>
    </xf>
    <xf numFmtId="166" fontId="14" fillId="3" borderId="0" xfId="0" applyNumberFormat="1" applyFont="1" applyFill="1" applyBorder="1" applyAlignment="1">
      <alignment horizontal="center"/>
    </xf>
    <xf numFmtId="0" fontId="36" fillId="0" borderId="11" xfId="0" applyFont="1" applyBorder="1" applyAlignment="1">
      <alignment horizontal="center"/>
    </xf>
    <xf numFmtId="2" fontId="14" fillId="4" borderId="2" xfId="0" applyNumberFormat="1" applyFont="1" applyFill="1" applyBorder="1" applyAlignment="1">
      <alignment horizontal="center"/>
    </xf>
    <xf numFmtId="2" fontId="14" fillId="4" borderId="3" xfId="0" applyNumberFormat="1" applyFont="1" applyFill="1" applyBorder="1" applyAlignment="1">
      <alignment horizontal="center"/>
    </xf>
    <xf numFmtId="164" fontId="14" fillId="0" borderId="3" xfId="0" applyNumberFormat="1" applyFont="1" applyBorder="1" applyAlignment="1">
      <alignment horizontal="center"/>
    </xf>
    <xf numFmtId="2" fontId="14" fillId="4" borderId="5" xfId="0" applyNumberFormat="1" applyFont="1" applyFill="1" applyBorder="1" applyAlignment="1">
      <alignment horizontal="center"/>
    </xf>
    <xf numFmtId="164" fontId="14" fillId="0" borderId="0" xfId="0" applyNumberFormat="1" applyFont="1" applyBorder="1" applyAlignment="1">
      <alignment horizontal="center"/>
    </xf>
    <xf numFmtId="2" fontId="14" fillId="4" borderId="7" xfId="0" applyNumberFormat="1" applyFont="1" applyFill="1" applyBorder="1" applyAlignment="1">
      <alignment horizontal="center"/>
    </xf>
    <xf numFmtId="2" fontId="9" fillId="0" borderId="0" xfId="0" applyNumberFormat="1" applyFont="1"/>
    <xf numFmtId="2" fontId="9" fillId="0" borderId="3" xfId="0" applyNumberFormat="1" applyFont="1" applyBorder="1" applyAlignment="1">
      <alignment horizontal="center"/>
    </xf>
    <xf numFmtId="2" fontId="31" fillId="3" borderId="0" xfId="0" applyNumberFormat="1" applyFont="1" applyFill="1" applyBorder="1" applyAlignment="1">
      <alignment horizontal="center"/>
    </xf>
    <xf numFmtId="0" fontId="19" fillId="0" borderId="0" xfId="0" applyFont="1" applyFill="1" applyAlignment="1">
      <alignment horizontal="center" vertical="center" wrapText="1"/>
    </xf>
    <xf numFmtId="166" fontId="14" fillId="4" borderId="3" xfId="0" applyNumberFormat="1" applyFont="1" applyFill="1" applyBorder="1" applyAlignment="1">
      <alignment horizontal="center"/>
    </xf>
    <xf numFmtId="166" fontId="14" fillId="0" borderId="3" xfId="0" applyNumberFormat="1" applyFont="1" applyBorder="1" applyAlignment="1">
      <alignment horizontal="center"/>
    </xf>
    <xf numFmtId="164" fontId="14" fillId="3" borderId="3" xfId="0" applyNumberFormat="1" applyFont="1" applyFill="1" applyBorder="1" applyAlignment="1">
      <alignment horizontal="center"/>
    </xf>
    <xf numFmtId="2" fontId="31" fillId="3" borderId="3" xfId="0" applyNumberFormat="1" applyFont="1" applyFill="1" applyBorder="1" applyAlignment="1">
      <alignment horizontal="center"/>
    </xf>
    <xf numFmtId="0" fontId="0" fillId="0" borderId="7" xfId="0" applyBorder="1" applyAlignment="1">
      <alignment horizontal="right"/>
    </xf>
    <xf numFmtId="2" fontId="9" fillId="0" borderId="2" xfId="0" applyNumberFormat="1" applyFont="1" applyBorder="1" applyAlignment="1">
      <alignment horizontal="center"/>
    </xf>
    <xf numFmtId="2" fontId="9" fillId="0" borderId="5" xfId="0" applyNumberFormat="1" applyFont="1" applyBorder="1" applyAlignment="1">
      <alignment horizontal="center"/>
    </xf>
    <xf numFmtId="2" fontId="9" fillId="0" borderId="7" xfId="0" applyNumberFormat="1" applyFont="1" applyBorder="1" applyAlignment="1">
      <alignment horizontal="center"/>
    </xf>
    <xf numFmtId="2" fontId="9" fillId="0" borderId="4" xfId="0" applyNumberFormat="1" applyFont="1" applyBorder="1" applyAlignment="1">
      <alignment horizontal="center"/>
    </xf>
    <xf numFmtId="2" fontId="9" fillId="0" borderId="6" xfId="0" applyNumberFormat="1" applyFont="1" applyBorder="1" applyAlignment="1">
      <alignment horizontal="center"/>
    </xf>
    <xf numFmtId="2" fontId="9" fillId="0" borderId="9" xfId="0" applyNumberFormat="1" applyFont="1" applyBorder="1" applyAlignment="1">
      <alignment horizontal="center"/>
    </xf>
    <xf numFmtId="1" fontId="9" fillId="0" borderId="3" xfId="0" applyNumberFormat="1" applyFont="1" applyBorder="1" applyAlignment="1">
      <alignment horizontal="center"/>
    </xf>
    <xf numFmtId="1" fontId="9" fillId="0" borderId="0" xfId="0" applyNumberFormat="1" applyFont="1" applyBorder="1" applyAlignment="1">
      <alignment horizontal="center"/>
    </xf>
    <xf numFmtId="165" fontId="0" fillId="2" borderId="3" xfId="0" applyNumberFormat="1" applyFill="1" applyBorder="1" applyAlignment="1">
      <alignment horizontal="center"/>
    </xf>
    <xf numFmtId="0" fontId="0" fillId="0" borderId="12" xfId="0" applyBorder="1" applyAlignment="1">
      <alignment horizontal="center"/>
    </xf>
    <xf numFmtId="0" fontId="9" fillId="0" borderId="4" xfId="0" applyFont="1" applyBorder="1" applyAlignment="1">
      <alignment horizontal="center"/>
    </xf>
    <xf numFmtId="0" fontId="9" fillId="0" borderId="6" xfId="0" applyFont="1" applyBorder="1" applyAlignment="1">
      <alignment horizontal="center"/>
    </xf>
    <xf numFmtId="0" fontId="9" fillId="0" borderId="9" xfId="0" applyFont="1" applyBorder="1" applyAlignment="1">
      <alignment horizontal="center"/>
    </xf>
    <xf numFmtId="164" fontId="14" fillId="4" borderId="3" xfId="0" applyNumberFormat="1" applyFont="1" applyFill="1" applyBorder="1" applyAlignment="1">
      <alignment horizontal="center"/>
    </xf>
    <xf numFmtId="164" fontId="14" fillId="4" borderId="0" xfId="0" applyNumberFormat="1" applyFont="1" applyFill="1" applyBorder="1" applyAlignment="1">
      <alignment horizontal="center"/>
    </xf>
    <xf numFmtId="164" fontId="14" fillId="4" borderId="8" xfId="0" applyNumberFormat="1" applyFont="1" applyFill="1" applyBorder="1" applyAlignment="1">
      <alignment horizontal="center"/>
    </xf>
    <xf numFmtId="2" fontId="14" fillId="3" borderId="25" xfId="0" applyNumberFormat="1" applyFont="1" applyFill="1" applyBorder="1" applyAlignment="1">
      <alignment horizontal="center"/>
    </xf>
    <xf numFmtId="2" fontId="14" fillId="3" borderId="18" xfId="0" applyNumberFormat="1" applyFont="1" applyFill="1" applyBorder="1" applyAlignment="1">
      <alignment horizontal="center"/>
    </xf>
    <xf numFmtId="166" fontId="14" fillId="3" borderId="18" xfId="0" applyNumberFormat="1" applyFont="1" applyFill="1" applyBorder="1" applyAlignment="1">
      <alignment horizontal="center"/>
    </xf>
    <xf numFmtId="166" fontId="14" fillId="0" borderId="26" xfId="0" applyNumberFormat="1" applyFont="1" applyBorder="1" applyAlignment="1">
      <alignment horizontal="center"/>
    </xf>
    <xf numFmtId="166" fontId="14" fillId="3" borderId="27" xfId="0" applyNumberFormat="1" applyFont="1" applyFill="1" applyBorder="1" applyAlignment="1">
      <alignment horizontal="center"/>
    </xf>
    <xf numFmtId="166" fontId="14" fillId="3" borderId="24" xfId="0" applyNumberFormat="1" applyFont="1" applyFill="1" applyBorder="1" applyAlignment="1">
      <alignment horizontal="center"/>
    </xf>
    <xf numFmtId="166" fontId="14" fillId="3" borderId="14" xfId="0" applyNumberFormat="1" applyFont="1" applyFill="1" applyBorder="1" applyAlignment="1">
      <alignment horizontal="center"/>
    </xf>
    <xf numFmtId="166" fontId="14" fillId="3" borderId="17" xfId="0" applyNumberFormat="1" applyFont="1" applyFill="1" applyBorder="1" applyAlignment="1">
      <alignment horizontal="center"/>
    </xf>
    <xf numFmtId="166" fontId="14" fillId="3" borderId="25" xfId="0" applyNumberFormat="1" applyFont="1" applyFill="1" applyBorder="1" applyAlignment="1">
      <alignment horizontal="center"/>
    </xf>
    <xf numFmtId="166" fontId="14" fillId="0" borderId="18" xfId="0" applyNumberFormat="1" applyFont="1" applyBorder="1" applyAlignment="1">
      <alignment horizontal="center"/>
    </xf>
    <xf numFmtId="164" fontId="14" fillId="3" borderId="18" xfId="0" applyNumberFormat="1" applyFont="1" applyFill="1" applyBorder="1" applyAlignment="1">
      <alignment horizontal="center"/>
    </xf>
    <xf numFmtId="2" fontId="31" fillId="3" borderId="18" xfId="0" applyNumberFormat="1" applyFont="1" applyFill="1" applyBorder="1" applyAlignment="1">
      <alignment horizontal="center"/>
    </xf>
    <xf numFmtId="166" fontId="14" fillId="3" borderId="26" xfId="0" applyNumberFormat="1" applyFont="1" applyFill="1" applyBorder="1" applyAlignment="1">
      <alignment horizontal="center"/>
    </xf>
    <xf numFmtId="0" fontId="14" fillId="0" borderId="12" xfId="0" applyFont="1" applyBorder="1" applyAlignment="1">
      <alignment horizontal="center"/>
    </xf>
    <xf numFmtId="0" fontId="0" fillId="0" borderId="13" xfId="0" applyFill="1" applyBorder="1" applyAlignment="1">
      <alignment horizontal="center"/>
    </xf>
    <xf numFmtId="164" fontId="14" fillId="0" borderId="8" xfId="0" applyNumberFormat="1" applyFont="1" applyBorder="1" applyAlignment="1">
      <alignment horizontal="center"/>
    </xf>
    <xf numFmtId="0" fontId="14" fillId="0" borderId="15" xfId="0" applyFont="1" applyFill="1" applyBorder="1" applyAlignment="1">
      <alignment horizontal="center"/>
    </xf>
    <xf numFmtId="0" fontId="0" fillId="0" borderId="15" xfId="0" applyFill="1" applyBorder="1"/>
    <xf numFmtId="0" fontId="0" fillId="0" borderId="16" xfId="0" applyFill="1" applyBorder="1" applyAlignment="1">
      <alignment horizontal="center"/>
    </xf>
    <xf numFmtId="0" fontId="17" fillId="0" borderId="2" xfId="0" applyFont="1" applyFill="1" applyBorder="1" applyAlignment="1">
      <alignment vertical="center"/>
    </xf>
    <xf numFmtId="0" fontId="17" fillId="0" borderId="7" xfId="0" applyFont="1" applyFill="1" applyBorder="1" applyAlignment="1">
      <alignment horizontal="left" vertical="center"/>
    </xf>
    <xf numFmtId="14" fontId="33" fillId="0" borderId="9" xfId="0" applyNumberFormat="1" applyFont="1" applyFill="1" applyBorder="1" applyAlignment="1">
      <alignment horizontal="left" vertical="center"/>
    </xf>
    <xf numFmtId="0" fontId="0" fillId="0" borderId="0" xfId="0" applyFill="1"/>
    <xf numFmtId="0" fontId="17" fillId="0" borderId="0" xfId="0" applyFont="1" applyFill="1"/>
    <xf numFmtId="0" fontId="14" fillId="0" borderId="0" xfId="0" applyFont="1" applyFill="1" applyBorder="1" applyAlignment="1">
      <alignment horizontal="left" vertical="center"/>
    </xf>
    <xf numFmtId="0" fontId="12" fillId="0" borderId="0" xfId="0" applyFont="1" applyFill="1" applyAlignment="1">
      <alignment vertical="center"/>
    </xf>
    <xf numFmtId="0" fontId="14" fillId="0" borderId="10"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2" fillId="0" borderId="0" xfId="0" applyFont="1" applyFill="1" applyAlignment="1">
      <alignment horizontal="right" vertical="center"/>
    </xf>
    <xf numFmtId="0" fontId="0" fillId="0" borderId="0" xfId="0" applyFill="1" applyAlignment="1">
      <alignment horizontal="right"/>
    </xf>
    <xf numFmtId="0" fontId="12" fillId="0" borderId="0" xfId="0" applyFont="1" applyFill="1" applyAlignment="1">
      <alignment horizontal="right"/>
    </xf>
    <xf numFmtId="0" fontId="14" fillId="0" borderId="0" xfId="0" applyFont="1" applyFill="1" applyBorder="1"/>
    <xf numFmtId="0" fontId="25" fillId="0" borderId="0" xfId="0" applyFont="1" applyFill="1" applyAlignment="1">
      <alignment vertical="center"/>
    </xf>
    <xf numFmtId="0" fontId="25" fillId="0" borderId="0" xfId="0" applyFont="1" applyFill="1"/>
    <xf numFmtId="164" fontId="14" fillId="0" borderId="1" xfId="0" applyNumberFormat="1" applyFont="1" applyFill="1" applyBorder="1" applyAlignment="1">
      <alignment horizontal="center" vertical="center"/>
    </xf>
    <xf numFmtId="0" fontId="0" fillId="0" borderId="29" xfId="0" applyBorder="1"/>
    <xf numFmtId="0" fontId="41" fillId="0" borderId="0" xfId="0" applyFont="1"/>
    <xf numFmtId="3" fontId="8" fillId="0" borderId="0" xfId="0" applyNumberFormat="1" applyFont="1" applyBorder="1" applyAlignment="1">
      <alignment horizontal="center" vertical="center" wrapText="1"/>
    </xf>
    <xf numFmtId="0" fontId="8" fillId="0" borderId="0" xfId="0" applyFont="1" applyBorder="1" applyAlignment="1">
      <alignment horizontal="center" vertical="center" wrapText="1"/>
    </xf>
    <xf numFmtId="0" fontId="2" fillId="0" borderId="8" xfId="0" applyFont="1" applyBorder="1" applyAlignment="1">
      <alignment horizontal="center" vertical="center" wrapText="1"/>
    </xf>
    <xf numFmtId="0" fontId="8" fillId="0" borderId="3" xfId="0" applyFont="1" applyBorder="1" applyAlignment="1">
      <alignment horizontal="center" vertical="center" wrapText="1"/>
    </xf>
    <xf numFmtId="0" fontId="8" fillId="0" borderId="8" xfId="0" applyFont="1" applyBorder="1" applyAlignment="1">
      <alignment horizontal="center" vertical="center" wrapText="1"/>
    </xf>
    <xf numFmtId="0" fontId="0" fillId="0" borderId="0" xfId="0" applyFont="1"/>
    <xf numFmtId="0" fontId="43" fillId="0" borderId="0" xfId="0" applyFont="1"/>
    <xf numFmtId="0" fontId="2" fillId="0" borderId="29" xfId="0" applyFont="1" applyBorder="1"/>
    <xf numFmtId="0" fontId="0" fillId="0" borderId="30" xfId="0" applyBorder="1"/>
    <xf numFmtId="0" fontId="0" fillId="2" borderId="4" xfId="0" applyFill="1" applyBorder="1" applyAlignment="1">
      <alignment horizontal="center"/>
    </xf>
    <xf numFmtId="0" fontId="0" fillId="0" borderId="0" xfId="0" applyProtection="1">
      <protection locked="0"/>
    </xf>
    <xf numFmtId="0" fontId="17" fillId="0" borderId="10" xfId="0" applyFont="1" applyBorder="1" applyAlignment="1" applyProtection="1">
      <alignment vertical="center" wrapText="1"/>
      <protection locked="0"/>
    </xf>
    <xf numFmtId="0" fontId="17" fillId="0" borderId="2" xfId="0" applyFont="1" applyBorder="1" applyAlignment="1" applyProtection="1">
      <alignment vertical="center"/>
      <protection locked="0"/>
    </xf>
    <xf numFmtId="0" fontId="17" fillId="0" borderId="10" xfId="0" applyFont="1" applyFill="1" applyBorder="1" applyAlignment="1" applyProtection="1">
      <alignment vertical="center"/>
      <protection locked="0"/>
    </xf>
    <xf numFmtId="0" fontId="17" fillId="0" borderId="7" xfId="0" applyFont="1" applyBorder="1" applyAlignment="1" applyProtection="1">
      <alignment vertical="center"/>
      <protection locked="0"/>
    </xf>
    <xf numFmtId="0" fontId="17" fillId="0" borderId="7" xfId="0" applyFont="1" applyFill="1" applyBorder="1" applyAlignment="1" applyProtection="1">
      <alignment vertical="center"/>
      <protection locked="0"/>
    </xf>
    <xf numFmtId="0" fontId="2" fillId="0" borderId="0" xfId="0" applyFont="1" applyBorder="1" applyAlignment="1" applyProtection="1">
      <alignment horizontal="left" vertical="center"/>
    </xf>
    <xf numFmtId="0" fontId="17" fillId="0" borderId="0" xfId="0" applyFont="1" applyProtection="1"/>
    <xf numFmtId="0" fontId="14" fillId="0" borderId="0" xfId="0" applyFont="1" applyBorder="1" applyAlignment="1" applyProtection="1">
      <alignment horizontal="right" vertical="center"/>
    </xf>
    <xf numFmtId="0" fontId="14" fillId="0" borderId="0" xfId="0" applyFont="1" applyBorder="1" applyAlignment="1" applyProtection="1">
      <alignment horizontal="left" vertical="center"/>
    </xf>
    <xf numFmtId="0" fontId="14" fillId="0" borderId="10" xfId="0" applyFont="1" applyBorder="1" applyAlignment="1" applyProtection="1">
      <alignment horizontal="center" vertical="center"/>
    </xf>
    <xf numFmtId="0" fontId="14" fillId="0" borderId="11" xfId="0" applyFont="1" applyBorder="1" applyAlignment="1" applyProtection="1">
      <alignment horizontal="center" vertical="center"/>
    </xf>
    <xf numFmtId="0" fontId="12" fillId="0" borderId="0" xfId="0" applyFont="1" applyProtection="1"/>
    <xf numFmtId="0" fontId="12" fillId="0" borderId="0" xfId="0" applyFont="1" applyAlignment="1" applyProtection="1">
      <alignment vertical="center"/>
    </xf>
    <xf numFmtId="0" fontId="12" fillId="0" borderId="0" xfId="0" applyFont="1" applyAlignment="1" applyProtection="1">
      <alignment horizontal="right" vertical="center"/>
    </xf>
    <xf numFmtId="0" fontId="0" fillId="0" borderId="0" xfId="0" applyAlignment="1" applyProtection="1">
      <alignment horizontal="right"/>
    </xf>
    <xf numFmtId="0" fontId="12" fillId="0" borderId="0" xfId="0" applyFont="1" applyAlignment="1" applyProtection="1">
      <alignment horizontal="right"/>
    </xf>
    <xf numFmtId="0" fontId="12" fillId="0" borderId="0" xfId="0" applyFont="1" applyBorder="1" applyAlignment="1" applyProtection="1">
      <alignment horizontal="right"/>
    </xf>
    <xf numFmtId="0" fontId="17" fillId="0" borderId="0" xfId="0" applyFont="1" applyAlignment="1" applyProtection="1">
      <alignment vertical="center"/>
    </xf>
    <xf numFmtId="0" fontId="23" fillId="0" borderId="0" xfId="0" applyFont="1" applyAlignment="1" applyProtection="1">
      <alignment horizontal="right" vertical="center"/>
    </xf>
    <xf numFmtId="0" fontId="14" fillId="4" borderId="1" xfId="0" applyNumberFormat="1" applyFont="1" applyFill="1" applyBorder="1" applyAlignment="1" applyProtection="1">
      <alignment horizontal="center" vertical="center"/>
      <protection locked="0"/>
    </xf>
    <xf numFmtId="0" fontId="12" fillId="4" borderId="4" xfId="0" applyFont="1" applyFill="1" applyBorder="1" applyAlignment="1" applyProtection="1">
      <alignment horizontal="left" vertical="center"/>
      <protection locked="0"/>
    </xf>
    <xf numFmtId="14" fontId="12" fillId="4" borderId="9" xfId="0" applyNumberFormat="1" applyFont="1" applyFill="1" applyBorder="1" applyAlignment="1" applyProtection="1">
      <alignment horizontal="left" vertical="center"/>
      <protection locked="0"/>
    </xf>
    <xf numFmtId="0" fontId="45" fillId="0" borderId="0" xfId="0" applyFont="1" applyProtection="1">
      <protection locked="0"/>
    </xf>
    <xf numFmtId="0" fontId="45" fillId="0" borderId="0" xfId="0" applyFont="1" applyProtection="1"/>
    <xf numFmtId="0" fontId="46" fillId="0" borderId="0" xfId="0" applyFont="1" applyFill="1" applyBorder="1" applyAlignment="1" applyProtection="1">
      <alignment horizontal="left" vertical="center"/>
    </xf>
    <xf numFmtId="0" fontId="37" fillId="0" borderId="0" xfId="0" applyFont="1" applyProtection="1"/>
    <xf numFmtId="0" fontId="37" fillId="4" borderId="1" xfId="0" applyFont="1" applyFill="1" applyBorder="1" applyProtection="1">
      <protection locked="0"/>
    </xf>
    <xf numFmtId="0" fontId="14" fillId="5" borderId="1" xfId="0" applyFont="1" applyFill="1" applyBorder="1" applyAlignment="1" applyProtection="1">
      <alignment horizontal="center" vertical="center"/>
      <protection locked="0"/>
    </xf>
    <xf numFmtId="1" fontId="14" fillId="5" borderId="0" xfId="0" applyNumberFormat="1" applyFont="1" applyFill="1" applyBorder="1" applyAlignment="1" applyProtection="1">
      <alignment horizontal="center" vertical="center"/>
      <protection locked="0"/>
    </xf>
    <xf numFmtId="165" fontId="14" fillId="5" borderId="0" xfId="0" applyNumberFormat="1" applyFont="1" applyFill="1" applyBorder="1" applyAlignment="1" applyProtection="1">
      <alignment horizontal="center" vertical="center"/>
      <protection locked="0"/>
    </xf>
    <xf numFmtId="166" fontId="12" fillId="5" borderId="1" xfId="0" applyNumberFormat="1" applyFont="1" applyFill="1" applyBorder="1" applyAlignment="1" applyProtection="1">
      <alignment horizontal="center" vertical="center"/>
      <protection locked="0"/>
    </xf>
    <xf numFmtId="165" fontId="12" fillId="5" borderId="1" xfId="0" applyNumberFormat="1" applyFont="1" applyFill="1" applyBorder="1" applyAlignment="1" applyProtection="1">
      <alignment horizontal="center" vertical="center"/>
      <protection locked="0"/>
    </xf>
    <xf numFmtId="0" fontId="12" fillId="5" borderId="1" xfId="0" applyFont="1" applyFill="1" applyBorder="1" applyAlignment="1" applyProtection="1">
      <alignment horizontal="center"/>
      <protection locked="0"/>
    </xf>
    <xf numFmtId="0" fontId="14" fillId="5" borderId="1" xfId="0" applyFont="1" applyFill="1" applyBorder="1" applyAlignment="1" applyProtection="1">
      <alignment horizontal="center"/>
      <protection locked="0"/>
    </xf>
    <xf numFmtId="0" fontId="12" fillId="6" borderId="1" xfId="0" applyFont="1" applyFill="1" applyBorder="1" applyAlignment="1" applyProtection="1">
      <alignment horizontal="center"/>
      <protection locked="0"/>
    </xf>
    <xf numFmtId="0" fontId="12" fillId="6" borderId="1" xfId="0" applyFont="1" applyFill="1" applyBorder="1" applyAlignment="1" applyProtection="1">
      <alignment horizontal="center" vertical="center"/>
      <protection locked="0"/>
    </xf>
    <xf numFmtId="0" fontId="45" fillId="0" borderId="3" xfId="0" applyFont="1" applyBorder="1" applyProtection="1"/>
    <xf numFmtId="0" fontId="37" fillId="0" borderId="0" xfId="0" applyFont="1" applyBorder="1" applyProtection="1"/>
    <xf numFmtId="0" fontId="45" fillId="0" borderId="0" xfId="0" applyFont="1" applyBorder="1" applyProtection="1"/>
    <xf numFmtId="0" fontId="0" fillId="0" borderId="6" xfId="0" applyBorder="1" applyProtection="1">
      <protection locked="0"/>
    </xf>
    <xf numFmtId="0" fontId="0" fillId="0" borderId="0" xfId="0" applyBorder="1" applyProtection="1">
      <protection locked="0"/>
    </xf>
    <xf numFmtId="0" fontId="14" fillId="0" borderId="0" xfId="0" applyFont="1" applyBorder="1" applyAlignment="1" applyProtection="1">
      <alignment horizontal="right"/>
    </xf>
    <xf numFmtId="0" fontId="14" fillId="0" borderId="0" xfId="0" applyFont="1" applyBorder="1" applyAlignment="1" applyProtection="1"/>
    <xf numFmtId="0" fontId="45" fillId="0" borderId="6" xfId="0" applyFont="1" applyBorder="1" applyProtection="1"/>
    <xf numFmtId="0" fontId="37" fillId="0" borderId="0" xfId="0" applyFont="1" applyBorder="1" applyAlignment="1" applyProtection="1">
      <alignment horizontal="right"/>
    </xf>
    <xf numFmtId="0" fontId="45" fillId="0" borderId="8" xfId="0" applyFont="1" applyBorder="1" applyProtection="1"/>
    <xf numFmtId="0" fontId="45" fillId="0" borderId="9" xfId="0" applyFont="1" applyBorder="1" applyProtection="1"/>
    <xf numFmtId="0" fontId="45" fillId="0" borderId="2" xfId="0" applyFont="1" applyBorder="1" applyProtection="1"/>
    <xf numFmtId="0" fontId="37" fillId="0" borderId="0" xfId="0" applyFont="1" applyBorder="1" applyAlignment="1" applyProtection="1">
      <alignment vertical="center"/>
    </xf>
    <xf numFmtId="0" fontId="0" fillId="0" borderId="0" xfId="0" applyProtection="1">
      <protection locked="0" hidden="1"/>
    </xf>
    <xf numFmtId="0" fontId="37" fillId="5" borderId="1" xfId="0" applyFont="1" applyFill="1" applyBorder="1" applyAlignment="1" applyProtection="1">
      <alignment horizontal="center" vertical="center"/>
      <protection locked="0"/>
    </xf>
    <xf numFmtId="164" fontId="37" fillId="7" borderId="1" xfId="0" applyNumberFormat="1" applyFont="1" applyFill="1" applyBorder="1" applyAlignment="1" applyProtection="1">
      <alignment horizontal="center"/>
      <protection locked="0"/>
    </xf>
    <xf numFmtId="0" fontId="14" fillId="8" borderId="1" xfId="0" applyFont="1" applyFill="1" applyBorder="1" applyAlignment="1" applyProtection="1">
      <alignment horizontal="center" vertical="center"/>
      <protection locked="0"/>
    </xf>
    <xf numFmtId="0" fontId="12" fillId="0" borderId="0" xfId="0" applyFont="1" applyBorder="1" applyProtection="1"/>
    <xf numFmtId="0" fontId="12" fillId="0" borderId="0" xfId="0" quotePrefix="1" applyFont="1" applyAlignment="1" applyProtection="1">
      <alignment horizontal="right" vertical="center"/>
    </xf>
    <xf numFmtId="0" fontId="12" fillId="0" borderId="0" xfId="0" quotePrefix="1" applyFont="1" applyAlignment="1" applyProtection="1">
      <alignment horizontal="right"/>
    </xf>
    <xf numFmtId="0" fontId="14" fillId="0" borderId="11" xfId="0" applyFont="1" applyBorder="1" applyAlignment="1" applyProtection="1">
      <alignment horizontal="center" vertical="center" wrapText="1"/>
    </xf>
    <xf numFmtId="0" fontId="14" fillId="0" borderId="23" xfId="0" applyFont="1" applyBorder="1" applyAlignment="1">
      <alignment horizontal="center"/>
    </xf>
    <xf numFmtId="2" fontId="14" fillId="9" borderId="3" xfId="0" applyNumberFormat="1" applyFont="1" applyFill="1" applyBorder="1" applyAlignment="1">
      <alignment horizontal="center"/>
    </xf>
    <xf numFmtId="2" fontId="14" fillId="9" borderId="0" xfId="0" applyNumberFormat="1" applyFont="1" applyFill="1" applyBorder="1" applyAlignment="1">
      <alignment horizontal="center"/>
    </xf>
    <xf numFmtId="2" fontId="14" fillId="9" borderId="28" xfId="0" applyNumberFormat="1" applyFont="1" applyFill="1" applyBorder="1" applyAlignment="1">
      <alignment horizontal="center"/>
    </xf>
    <xf numFmtId="2" fontId="14" fillId="9" borderId="8" xfId="0" applyNumberFormat="1" applyFont="1" applyFill="1" applyBorder="1" applyAlignment="1">
      <alignment horizontal="center"/>
    </xf>
    <xf numFmtId="167" fontId="0" fillId="0" borderId="0" xfId="0" applyNumberFormat="1"/>
    <xf numFmtId="0" fontId="14" fillId="0" borderId="3" xfId="0" applyFont="1" applyBorder="1" applyAlignment="1" applyProtection="1">
      <alignment horizontal="center" vertical="center"/>
    </xf>
    <xf numFmtId="2" fontId="14" fillId="5" borderId="0" xfId="0" applyNumberFormat="1" applyFont="1" applyFill="1" applyBorder="1" applyAlignment="1" applyProtection="1">
      <alignment horizontal="center" vertical="center"/>
      <protection locked="0"/>
    </xf>
    <xf numFmtId="0" fontId="39" fillId="0" borderId="6" xfId="0" quotePrefix="1" applyFont="1" applyBorder="1" applyAlignment="1" applyProtection="1">
      <alignment horizontal="right"/>
    </xf>
    <xf numFmtId="165" fontId="14" fillId="0" borderId="3" xfId="0" applyNumberFormat="1" applyFont="1" applyBorder="1" applyAlignment="1" applyProtection="1">
      <alignment horizontal="center" vertical="center"/>
    </xf>
    <xf numFmtId="1" fontId="14" fillId="5" borderId="0" xfId="0" applyNumberFormat="1" applyFont="1" applyFill="1" applyAlignment="1" applyProtection="1">
      <alignment horizontal="center" vertical="center"/>
      <protection locked="0"/>
    </xf>
    <xf numFmtId="2" fontId="31" fillId="5" borderId="5" xfId="0" applyNumberFormat="1" applyFont="1" applyFill="1" applyBorder="1" applyAlignment="1" applyProtection="1">
      <alignment horizontal="center"/>
      <protection locked="0"/>
    </xf>
    <xf numFmtId="0" fontId="12" fillId="8" borderId="1" xfId="0" applyFont="1" applyFill="1" applyBorder="1" applyAlignment="1" applyProtection="1">
      <alignment horizontal="center" vertical="center"/>
      <protection locked="0"/>
    </xf>
    <xf numFmtId="0" fontId="14" fillId="8" borderId="1" xfId="0" applyFont="1" applyFill="1" applyBorder="1" applyAlignment="1" applyProtection="1">
      <alignment horizontal="center"/>
      <protection locked="0"/>
    </xf>
    <xf numFmtId="0" fontId="8" fillId="0" borderId="0" xfId="0" applyFont="1" applyFill="1" applyAlignment="1" applyProtection="1">
      <alignment horizontal="right"/>
      <protection locked="0"/>
    </xf>
    <xf numFmtId="0" fontId="12" fillId="0" borderId="0" xfId="0" applyFont="1" applyFill="1" applyAlignment="1" applyProtection="1">
      <alignment horizontal="right" vertical="center"/>
    </xf>
    <xf numFmtId="0" fontId="33" fillId="0" borderId="0" xfId="0" applyFont="1" applyAlignment="1">
      <alignment horizontal="center"/>
    </xf>
    <xf numFmtId="0" fontId="12" fillId="0" borderId="4" xfId="0" applyFont="1" applyFill="1" applyBorder="1"/>
    <xf numFmtId="0" fontId="12" fillId="0" borderId="9" xfId="0" applyFont="1" applyFill="1" applyBorder="1" applyAlignment="1">
      <alignment horizontal="center" vertical="center"/>
    </xf>
    <xf numFmtId="0" fontId="12" fillId="0" borderId="10" xfId="0" applyFont="1" applyFill="1" applyBorder="1" applyAlignment="1">
      <alignment horizontal="center" vertical="center"/>
    </xf>
    <xf numFmtId="0" fontId="23" fillId="0" borderId="11" xfId="0" applyFont="1" applyFill="1" applyBorder="1" applyAlignment="1">
      <alignment horizontal="center" vertical="center"/>
    </xf>
    <xf numFmtId="2" fontId="12" fillId="0" borderId="4" xfId="0" applyNumberFormat="1" applyFont="1" applyFill="1" applyBorder="1" applyAlignment="1">
      <alignment horizontal="center" vertical="center"/>
    </xf>
    <xf numFmtId="2" fontId="12" fillId="0" borderId="3" xfId="0" applyNumberFormat="1" applyFont="1" applyFill="1" applyBorder="1" applyAlignment="1">
      <alignment horizontal="center" vertical="center"/>
    </xf>
    <xf numFmtId="166" fontId="12" fillId="0" borderId="3" xfId="0" applyNumberFormat="1" applyFont="1" applyFill="1" applyBorder="1" applyAlignment="1">
      <alignment horizontal="center" vertical="center"/>
    </xf>
    <xf numFmtId="164" fontId="12" fillId="0" borderId="3" xfId="0" applyNumberFormat="1" applyFont="1" applyFill="1" applyBorder="1" applyAlignment="1">
      <alignment horizontal="center" vertical="center"/>
    </xf>
    <xf numFmtId="2" fontId="12" fillId="0" borderId="0" xfId="0" applyNumberFormat="1" applyFont="1" applyFill="1" applyAlignment="1">
      <alignment horizontal="center" vertical="center"/>
    </xf>
    <xf numFmtId="166" fontId="12" fillId="0" borderId="0" xfId="0" applyNumberFormat="1" applyFont="1" applyFill="1" applyAlignment="1">
      <alignment horizontal="center" vertical="center"/>
    </xf>
    <xf numFmtId="164" fontId="12" fillId="0" borderId="0" xfId="0" applyNumberFormat="1" applyFont="1" applyFill="1" applyAlignment="1">
      <alignment horizontal="center" vertical="center"/>
    </xf>
    <xf numFmtId="2" fontId="12" fillId="0" borderId="6" xfId="0" applyNumberFormat="1" applyFont="1" applyFill="1" applyBorder="1" applyAlignment="1">
      <alignment horizontal="center" vertical="center"/>
    </xf>
    <xf numFmtId="2" fontId="12" fillId="0" borderId="0" xfId="0" applyNumberFormat="1" applyFont="1" applyFill="1" applyBorder="1" applyAlignment="1">
      <alignment horizontal="center" vertical="center"/>
    </xf>
    <xf numFmtId="166" fontId="12" fillId="0" borderId="0" xfId="0" applyNumberFormat="1" applyFont="1" applyFill="1" applyBorder="1" applyAlignment="1">
      <alignment horizontal="center" vertical="center"/>
    </xf>
    <xf numFmtId="164" fontId="12" fillId="0" borderId="0" xfId="0" applyNumberFormat="1" applyFont="1" applyFill="1" applyBorder="1" applyAlignment="1">
      <alignment horizontal="center" vertical="center"/>
    </xf>
    <xf numFmtId="2" fontId="12" fillId="0" borderId="5" xfId="0" applyNumberFormat="1" applyFont="1" applyFill="1" applyBorder="1" applyAlignment="1">
      <alignment horizontal="center" vertical="center"/>
    </xf>
    <xf numFmtId="2" fontId="12" fillId="0" borderId="8" xfId="0" applyNumberFormat="1" applyFont="1" applyFill="1" applyBorder="1" applyAlignment="1">
      <alignment horizontal="center" vertical="center"/>
    </xf>
    <xf numFmtId="2" fontId="12" fillId="0" borderId="7" xfId="0" applyNumberFormat="1" applyFont="1" applyFill="1" applyBorder="1" applyAlignment="1">
      <alignment horizontal="center" vertical="center"/>
    </xf>
    <xf numFmtId="166" fontId="12" fillId="0" borderId="8" xfId="0" applyNumberFormat="1" applyFont="1" applyFill="1" applyBorder="1" applyAlignment="1">
      <alignment horizontal="center" vertical="center"/>
    </xf>
    <xf numFmtId="164" fontId="12" fillId="0" borderId="8" xfId="0" applyNumberFormat="1" applyFont="1" applyFill="1" applyBorder="1" applyAlignment="1">
      <alignment horizontal="center" vertical="center"/>
    </xf>
    <xf numFmtId="0" fontId="12" fillId="0" borderId="11" xfId="0" applyFont="1" applyFill="1" applyBorder="1" applyAlignment="1">
      <alignment horizontal="center" vertical="center"/>
    </xf>
    <xf numFmtId="0" fontId="12" fillId="0" borderId="11" xfId="0" applyFont="1" applyFill="1" applyBorder="1" applyAlignment="1">
      <alignment horizontal="center" vertical="center"/>
    </xf>
    <xf numFmtId="0" fontId="14" fillId="0" borderId="0" xfId="0" applyFont="1" applyBorder="1" applyAlignment="1" applyProtection="1">
      <alignment horizontal="center" vertical="center"/>
    </xf>
    <xf numFmtId="0" fontId="14" fillId="0" borderId="0" xfId="0" applyFont="1" applyFill="1" applyBorder="1" applyProtection="1"/>
    <xf numFmtId="0" fontId="14" fillId="0" borderId="0" xfId="0" applyFont="1" applyBorder="1" applyAlignment="1" applyProtection="1">
      <alignment horizontal="center"/>
    </xf>
    <xf numFmtId="0" fontId="37" fillId="0" borderId="0" xfId="0" applyFont="1" applyFill="1" applyBorder="1" applyProtection="1"/>
    <xf numFmtId="0" fontId="14" fillId="5" borderId="0" xfId="0" applyFont="1" applyFill="1" applyBorder="1" applyAlignment="1" applyProtection="1">
      <alignment horizontal="center" vertical="center"/>
      <protection locked="0"/>
    </xf>
    <xf numFmtId="0" fontId="14" fillId="0" borderId="11" xfId="0" applyFont="1" applyFill="1" applyBorder="1" applyAlignment="1" applyProtection="1">
      <alignment horizontal="center" vertical="center"/>
    </xf>
    <xf numFmtId="164" fontId="9" fillId="0" borderId="0" xfId="0" applyNumberFormat="1" applyFont="1"/>
    <xf numFmtId="2" fontId="12" fillId="0" borderId="0" xfId="0" applyNumberFormat="1" applyFont="1" applyAlignment="1">
      <alignment horizontal="center"/>
    </xf>
    <xf numFmtId="0" fontId="12" fillId="3" borderId="0" xfId="0" applyFont="1" applyFill="1" applyAlignment="1">
      <alignment horizontal="center"/>
    </xf>
    <xf numFmtId="2" fontId="12" fillId="3" borderId="0" xfId="0" applyNumberFormat="1" applyFont="1" applyFill="1" applyAlignment="1">
      <alignment horizontal="center"/>
    </xf>
    <xf numFmtId="0" fontId="12" fillId="3" borderId="0" xfId="0" applyFont="1" applyFill="1"/>
    <xf numFmtId="0" fontId="0" fillId="3" borderId="0" xfId="0" applyFill="1"/>
    <xf numFmtId="0" fontId="12" fillId="0" borderId="8" xfId="0" applyFont="1" applyFill="1" applyBorder="1" applyAlignment="1">
      <alignment horizontal="center" vertical="center"/>
    </xf>
    <xf numFmtId="2" fontId="12" fillId="0" borderId="2" xfId="0" applyNumberFormat="1" applyFont="1" applyFill="1" applyBorder="1" applyAlignment="1">
      <alignment horizontal="center" vertical="center"/>
    </xf>
    <xf numFmtId="0" fontId="12" fillId="0" borderId="6" xfId="0" applyFont="1" applyFill="1" applyBorder="1" applyAlignment="1">
      <alignment horizontal="center" vertical="center"/>
    </xf>
    <xf numFmtId="2" fontId="12" fillId="0" borderId="9" xfId="0" applyNumberFormat="1" applyFont="1" applyFill="1" applyBorder="1" applyAlignment="1">
      <alignment horizontal="center" vertical="center"/>
    </xf>
    <xf numFmtId="1" fontId="12" fillId="0" borderId="3" xfId="0" applyNumberFormat="1" applyFont="1" applyFill="1" applyBorder="1" applyAlignment="1">
      <alignment horizontal="center" vertical="center"/>
    </xf>
    <xf numFmtId="165" fontId="12" fillId="0" borderId="3" xfId="0" applyNumberFormat="1" applyFont="1" applyFill="1" applyBorder="1" applyAlignment="1">
      <alignment horizontal="center" vertical="center"/>
    </xf>
    <xf numFmtId="1" fontId="12" fillId="0" borderId="0" xfId="0" applyNumberFormat="1" applyFont="1" applyFill="1" applyBorder="1" applyAlignment="1">
      <alignment horizontal="center" vertical="center"/>
    </xf>
    <xf numFmtId="165" fontId="12" fillId="0" borderId="0" xfId="0" applyNumberFormat="1" applyFont="1" applyFill="1" applyBorder="1" applyAlignment="1">
      <alignment horizontal="center" vertical="center"/>
    </xf>
    <xf numFmtId="0" fontId="12" fillId="0" borderId="0" xfId="0" applyFont="1" applyFill="1" applyBorder="1" applyAlignment="1">
      <alignment horizontal="center" vertical="center"/>
    </xf>
    <xf numFmtId="1" fontId="12" fillId="0" borderId="8" xfId="0" applyNumberFormat="1" applyFont="1" applyFill="1" applyBorder="1" applyAlignment="1">
      <alignment horizontal="center" vertical="center"/>
    </xf>
    <xf numFmtId="165" fontId="12" fillId="0" borderId="8" xfId="0" applyNumberFormat="1" applyFont="1" applyFill="1" applyBorder="1" applyAlignment="1">
      <alignment horizontal="center" vertical="center"/>
    </xf>
    <xf numFmtId="0" fontId="23" fillId="0" borderId="0" xfId="0" applyFont="1" applyFill="1" applyBorder="1" applyAlignment="1">
      <alignment horizontal="center" vertical="center"/>
    </xf>
    <xf numFmtId="0" fontId="14" fillId="0" borderId="0" xfId="0" applyFont="1" applyFill="1" applyBorder="1" applyAlignment="1">
      <alignment vertical="center"/>
    </xf>
    <xf numFmtId="2" fontId="0" fillId="0" borderId="0" xfId="0" applyNumberFormat="1" applyAlignment="1">
      <alignment horizontal="center"/>
    </xf>
    <xf numFmtId="0" fontId="33" fillId="0" borderId="4" xfId="0" applyFont="1" applyFill="1" applyBorder="1" applyAlignment="1">
      <alignment horizontal="left" vertical="center"/>
    </xf>
    <xf numFmtId="0" fontId="33" fillId="0" borderId="3" xfId="0" applyFont="1" applyFill="1" applyBorder="1" applyAlignment="1">
      <alignment horizontal="left" vertical="center"/>
    </xf>
    <xf numFmtId="14" fontId="33" fillId="0" borderId="8" xfId="0" applyNumberFormat="1" applyFont="1" applyFill="1" applyBorder="1" applyAlignment="1">
      <alignment horizontal="left" vertical="center"/>
    </xf>
    <xf numFmtId="0" fontId="12" fillId="0" borderId="8" xfId="0" applyFont="1" applyBorder="1" applyAlignment="1">
      <alignment horizontal="center" vertical="center"/>
    </xf>
    <xf numFmtId="0" fontId="12" fillId="0" borderId="11" xfId="0" applyFont="1" applyBorder="1" applyAlignment="1">
      <alignment horizontal="center" vertical="center"/>
    </xf>
    <xf numFmtId="166" fontId="12" fillId="12" borderId="0" xfId="0" applyNumberFormat="1" applyFont="1" applyFill="1" applyBorder="1" applyAlignment="1">
      <alignment horizontal="center"/>
    </xf>
    <xf numFmtId="0" fontId="12" fillId="0" borderId="0" xfId="0" applyFont="1" applyAlignment="1">
      <alignment horizontal="center" vertical="center"/>
    </xf>
    <xf numFmtId="166" fontId="12" fillId="12" borderId="3" xfId="0" applyNumberFormat="1" applyFont="1" applyFill="1" applyBorder="1" applyAlignment="1">
      <alignment horizontal="center"/>
    </xf>
    <xf numFmtId="164" fontId="12" fillId="12" borderId="3" xfId="0" applyNumberFormat="1" applyFont="1" applyFill="1" applyBorder="1" applyAlignment="1">
      <alignment horizontal="center"/>
    </xf>
    <xf numFmtId="164" fontId="12" fillId="12" borderId="0" xfId="0" applyNumberFormat="1" applyFont="1" applyFill="1" applyBorder="1" applyAlignment="1">
      <alignment horizontal="center"/>
    </xf>
    <xf numFmtId="166" fontId="14" fillId="11" borderId="3" xfId="0" applyNumberFormat="1" applyFont="1" applyFill="1" applyBorder="1" applyAlignment="1">
      <alignment horizontal="center" vertical="center"/>
    </xf>
    <xf numFmtId="164" fontId="12" fillId="11" borderId="3" xfId="0" applyNumberFormat="1" applyFont="1" applyFill="1" applyBorder="1" applyAlignment="1">
      <alignment horizontal="center"/>
    </xf>
    <xf numFmtId="166" fontId="14" fillId="11" borderId="0" xfId="0" applyNumberFormat="1" applyFont="1" applyFill="1" applyBorder="1" applyAlignment="1">
      <alignment horizontal="center" vertical="center"/>
    </xf>
    <xf numFmtId="164" fontId="12" fillId="11" borderId="0" xfId="0" applyNumberFormat="1" applyFont="1" applyFill="1" applyBorder="1" applyAlignment="1">
      <alignment horizontal="center"/>
    </xf>
    <xf numFmtId="0" fontId="52" fillId="14" borderId="0" xfId="0" applyFont="1" applyFill="1"/>
    <xf numFmtId="0" fontId="12" fillId="0" borderId="0" xfId="0" applyFont="1" applyAlignment="1">
      <alignment horizontal="right" vertical="center"/>
    </xf>
    <xf numFmtId="0" fontId="23" fillId="0" borderId="0" xfId="0" applyFont="1" applyAlignment="1">
      <alignment horizontal="right" vertical="center"/>
    </xf>
    <xf numFmtId="0" fontId="23" fillId="0" borderId="11" xfId="0" applyFont="1" applyBorder="1" applyAlignment="1">
      <alignment horizontal="center" vertical="center"/>
    </xf>
    <xf numFmtId="0" fontId="45" fillId="15" borderId="1" xfId="0" applyFont="1" applyFill="1" applyBorder="1" applyProtection="1">
      <protection locked="0"/>
    </xf>
    <xf numFmtId="166" fontId="12" fillId="11" borderId="0" xfId="0" applyNumberFormat="1" applyFont="1" applyFill="1" applyBorder="1" applyAlignment="1">
      <alignment horizontal="center"/>
    </xf>
    <xf numFmtId="0" fontId="12" fillId="0" borderId="33" xfId="0" applyFont="1" applyBorder="1" applyAlignment="1">
      <alignment horizontal="center" vertical="center"/>
    </xf>
    <xf numFmtId="0" fontId="12" fillId="0" borderId="23" xfId="0" applyFont="1" applyBorder="1" applyAlignment="1">
      <alignment horizontal="center" vertical="center"/>
    </xf>
    <xf numFmtId="166" fontId="12" fillId="13" borderId="14" xfId="0" applyNumberFormat="1" applyFont="1" applyFill="1" applyBorder="1" applyAlignment="1">
      <alignment horizontal="center"/>
    </xf>
    <xf numFmtId="166" fontId="12" fillId="13" borderId="25" xfId="0" applyNumberFormat="1" applyFont="1" applyFill="1" applyBorder="1" applyAlignment="1">
      <alignment horizontal="center"/>
    </xf>
    <xf numFmtId="164" fontId="12" fillId="13" borderId="27" xfId="0" applyNumberFormat="1" applyFont="1" applyFill="1" applyBorder="1" applyAlignment="1">
      <alignment horizontal="center"/>
    </xf>
    <xf numFmtId="164" fontId="12" fillId="13" borderId="14" xfId="0" applyNumberFormat="1" applyFont="1" applyFill="1" applyBorder="1" applyAlignment="1">
      <alignment horizontal="center"/>
    </xf>
    <xf numFmtId="164" fontId="12" fillId="13" borderId="25" xfId="0" applyNumberFormat="1" applyFont="1" applyFill="1" applyBorder="1" applyAlignment="1">
      <alignment horizontal="center"/>
    </xf>
    <xf numFmtId="166" fontId="12" fillId="0" borderId="14" xfId="0" applyNumberFormat="1" applyFont="1" applyBorder="1" applyAlignment="1">
      <alignment horizontal="center"/>
    </xf>
    <xf numFmtId="166" fontId="12" fillId="0" borderId="25" xfId="0" applyNumberFormat="1" applyFont="1" applyBorder="1" applyAlignment="1">
      <alignment horizontal="center"/>
    </xf>
    <xf numFmtId="166" fontId="12" fillId="17" borderId="14" xfId="0" applyNumberFormat="1" applyFont="1" applyFill="1" applyBorder="1" applyAlignment="1">
      <alignment horizontal="center"/>
    </xf>
    <xf numFmtId="166" fontId="12" fillId="17" borderId="25" xfId="0" applyNumberFormat="1" applyFont="1" applyFill="1" applyBorder="1" applyAlignment="1">
      <alignment horizontal="center"/>
    </xf>
    <xf numFmtId="164" fontId="17" fillId="17" borderId="17" xfId="0" applyNumberFormat="1" applyFont="1" applyFill="1" applyBorder="1" applyAlignment="1">
      <alignment horizontal="center"/>
    </xf>
    <xf numFmtId="164" fontId="17" fillId="17" borderId="26" xfId="0" applyNumberFormat="1" applyFont="1" applyFill="1" applyBorder="1" applyAlignment="1">
      <alignment horizontal="center"/>
    </xf>
    <xf numFmtId="0" fontId="12" fillId="14" borderId="0" xfId="0" applyFont="1" applyFill="1" applyAlignment="1">
      <alignment horizontal="center"/>
    </xf>
    <xf numFmtId="164" fontId="12" fillId="0" borderId="0" xfId="0" applyNumberFormat="1" applyFont="1"/>
    <xf numFmtId="164" fontId="17" fillId="17" borderId="0" xfId="0" applyNumberFormat="1" applyFont="1" applyFill="1" applyBorder="1" applyAlignment="1">
      <alignment horizontal="center"/>
    </xf>
    <xf numFmtId="164" fontId="17" fillId="17" borderId="18" xfId="0" applyNumberFormat="1" applyFont="1" applyFill="1" applyBorder="1" applyAlignment="1">
      <alignment horizontal="center"/>
    </xf>
    <xf numFmtId="0" fontId="23" fillId="0" borderId="33" xfId="0" applyFont="1" applyBorder="1" applyAlignment="1">
      <alignment horizontal="center" vertical="center"/>
    </xf>
    <xf numFmtId="0" fontId="23" fillId="0" borderId="23" xfId="0" applyFont="1" applyBorder="1" applyAlignment="1">
      <alignment horizontal="center" vertical="center"/>
    </xf>
    <xf numFmtId="164" fontId="12" fillId="0" borderId="0" xfId="0" applyNumberFormat="1" applyFont="1" applyBorder="1" applyAlignment="1">
      <alignment horizontal="center"/>
    </xf>
    <xf numFmtId="164" fontId="12" fillId="0" borderId="17" xfId="0" applyNumberFormat="1" applyFont="1" applyBorder="1" applyAlignment="1">
      <alignment horizontal="center"/>
    </xf>
    <xf numFmtId="164" fontId="12" fillId="0" borderId="18" xfId="0" applyNumberFormat="1" applyFont="1" applyBorder="1" applyAlignment="1">
      <alignment horizontal="center"/>
    </xf>
    <xf numFmtId="164" fontId="12" fillId="13" borderId="17" xfId="0" applyNumberFormat="1" applyFont="1" applyFill="1" applyBorder="1" applyAlignment="1">
      <alignment horizontal="center"/>
    </xf>
    <xf numFmtId="164" fontId="12" fillId="2" borderId="14" xfId="0" applyNumberFormat="1" applyFont="1" applyFill="1" applyBorder="1" applyAlignment="1">
      <alignment horizontal="center"/>
    </xf>
    <xf numFmtId="166" fontId="12" fillId="2" borderId="0" xfId="0" applyNumberFormat="1" applyFont="1" applyFill="1" applyBorder="1" applyAlignment="1">
      <alignment horizontal="center"/>
    </xf>
    <xf numFmtId="164" fontId="12" fillId="2" borderId="0" xfId="0" applyNumberFormat="1" applyFont="1" applyFill="1" applyBorder="1" applyAlignment="1">
      <alignment horizontal="center"/>
    </xf>
    <xf numFmtId="0" fontId="12" fillId="2" borderId="0" xfId="0" applyFont="1" applyFill="1" applyBorder="1"/>
    <xf numFmtId="0" fontId="12" fillId="2" borderId="17" xfId="0" applyFont="1" applyFill="1" applyBorder="1"/>
    <xf numFmtId="164" fontId="12" fillId="2" borderId="25" xfId="0" applyNumberFormat="1" applyFont="1" applyFill="1" applyBorder="1" applyAlignment="1">
      <alignment horizontal="center"/>
    </xf>
    <xf numFmtId="166" fontId="12" fillId="2" borderId="18" xfId="0" applyNumberFormat="1" applyFont="1" applyFill="1" applyBorder="1" applyAlignment="1">
      <alignment horizontal="center"/>
    </xf>
    <xf numFmtId="164" fontId="12" fillId="2" borderId="18" xfId="0" applyNumberFormat="1" applyFont="1" applyFill="1" applyBorder="1" applyAlignment="1">
      <alignment horizontal="center"/>
    </xf>
    <xf numFmtId="0" fontId="12" fillId="2" borderId="18" xfId="0" applyFont="1" applyFill="1" applyBorder="1"/>
    <xf numFmtId="0" fontId="12" fillId="2" borderId="26" xfId="0" applyFont="1" applyFill="1" applyBorder="1"/>
    <xf numFmtId="164" fontId="17" fillId="2" borderId="17" xfId="0" applyNumberFormat="1" applyFont="1" applyFill="1" applyBorder="1" applyAlignment="1">
      <alignment horizontal="center"/>
    </xf>
    <xf numFmtId="166" fontId="12" fillId="13" borderId="17" xfId="0" applyNumberFormat="1" applyFont="1" applyFill="1" applyBorder="1" applyAlignment="1">
      <alignment horizontal="center"/>
    </xf>
    <xf numFmtId="166" fontId="12" fillId="13" borderId="26" xfId="0" applyNumberFormat="1" applyFont="1" applyFill="1" applyBorder="1" applyAlignment="1">
      <alignment horizontal="center"/>
    </xf>
    <xf numFmtId="166" fontId="12" fillId="11" borderId="14" xfId="0" applyNumberFormat="1" applyFont="1" applyFill="1" applyBorder="1" applyAlignment="1">
      <alignment horizontal="center"/>
    </xf>
    <xf numFmtId="0" fontId="12" fillId="11" borderId="0" xfId="0" applyFont="1" applyFill="1" applyBorder="1" applyAlignment="1">
      <alignment horizontal="center"/>
    </xf>
    <xf numFmtId="166" fontId="12" fillId="11" borderId="17" xfId="0" applyNumberFormat="1" applyFont="1" applyFill="1" applyBorder="1" applyAlignment="1">
      <alignment horizontal="center"/>
    </xf>
    <xf numFmtId="166" fontId="12" fillId="11" borderId="25" xfId="0" applyNumberFormat="1" applyFont="1" applyFill="1" applyBorder="1" applyAlignment="1">
      <alignment horizontal="center"/>
    </xf>
    <xf numFmtId="166" fontId="12" fillId="11" borderId="18" xfId="0" applyNumberFormat="1" applyFont="1" applyFill="1" applyBorder="1" applyAlignment="1">
      <alignment horizontal="center"/>
    </xf>
    <xf numFmtId="0" fontId="12" fillId="11" borderId="18" xfId="0" applyFont="1" applyFill="1" applyBorder="1" applyAlignment="1">
      <alignment horizontal="center"/>
    </xf>
    <xf numFmtId="166" fontId="12" fillId="11" borderId="26" xfId="0" applyNumberFormat="1" applyFont="1" applyFill="1" applyBorder="1" applyAlignment="1">
      <alignment horizontal="center"/>
    </xf>
    <xf numFmtId="0" fontId="12" fillId="0" borderId="34" xfId="0" applyFont="1" applyBorder="1" applyAlignment="1">
      <alignment horizontal="center" vertical="center"/>
    </xf>
    <xf numFmtId="164" fontId="12" fillId="12" borderId="14" xfId="0" applyNumberFormat="1" applyFont="1" applyFill="1" applyBorder="1" applyAlignment="1">
      <alignment horizontal="center"/>
    </xf>
    <xf numFmtId="167" fontId="12" fillId="12" borderId="0" xfId="0" applyNumberFormat="1" applyFont="1" applyFill="1" applyBorder="1" applyAlignment="1">
      <alignment horizontal="center"/>
    </xf>
    <xf numFmtId="166" fontId="12" fillId="12" borderId="17" xfId="0" applyNumberFormat="1" applyFont="1" applyFill="1" applyBorder="1" applyAlignment="1">
      <alignment horizontal="center"/>
    </xf>
    <xf numFmtId="164" fontId="12" fillId="12" borderId="25" xfId="0" applyNumberFormat="1" applyFont="1" applyFill="1" applyBorder="1" applyAlignment="1">
      <alignment horizontal="center"/>
    </xf>
    <xf numFmtId="166" fontId="12" fillId="12" borderId="18" xfId="0" applyNumberFormat="1" applyFont="1" applyFill="1" applyBorder="1" applyAlignment="1">
      <alignment horizontal="center"/>
    </xf>
    <xf numFmtId="167" fontId="12" fillId="12" borderId="18" xfId="0" applyNumberFormat="1" applyFont="1" applyFill="1" applyBorder="1" applyAlignment="1">
      <alignment horizontal="center"/>
    </xf>
    <xf numFmtId="166" fontId="12" fillId="12" borderId="26" xfId="0" applyNumberFormat="1" applyFont="1" applyFill="1" applyBorder="1" applyAlignment="1">
      <alignment horizontal="center"/>
    </xf>
    <xf numFmtId="0" fontId="12" fillId="0" borderId="13" xfId="0" applyFont="1" applyBorder="1" applyAlignment="1">
      <alignment horizontal="center" vertical="center"/>
    </xf>
    <xf numFmtId="0" fontId="12" fillId="0" borderId="16" xfId="0" applyFont="1" applyBorder="1" applyAlignment="1">
      <alignment horizontal="center" vertical="center"/>
    </xf>
    <xf numFmtId="166" fontId="12" fillId="12" borderId="24" xfId="0" applyNumberFormat="1" applyFont="1" applyFill="1" applyBorder="1" applyAlignment="1">
      <alignment horizontal="center" vertical="center"/>
    </xf>
    <xf numFmtId="166" fontId="12" fillId="12" borderId="17" xfId="0" applyNumberFormat="1" applyFont="1" applyFill="1" applyBorder="1" applyAlignment="1">
      <alignment horizontal="center" vertical="center"/>
    </xf>
    <xf numFmtId="164" fontId="12" fillId="12" borderId="18" xfId="0" applyNumberFormat="1" applyFont="1" applyFill="1" applyBorder="1" applyAlignment="1">
      <alignment horizontal="center"/>
    </xf>
    <xf numFmtId="166" fontId="12" fillId="12" borderId="26" xfId="0" applyNumberFormat="1" applyFont="1" applyFill="1" applyBorder="1" applyAlignment="1">
      <alignment horizontal="center" vertical="center"/>
    </xf>
    <xf numFmtId="164" fontId="12" fillId="11" borderId="27" xfId="0" applyNumberFormat="1" applyFont="1" applyFill="1" applyBorder="1" applyAlignment="1">
      <alignment horizontal="center"/>
    </xf>
    <xf numFmtId="164" fontId="12" fillId="11" borderId="24" xfId="0" applyNumberFormat="1" applyFont="1" applyFill="1" applyBorder="1" applyAlignment="1">
      <alignment horizontal="center" vertical="center"/>
    </xf>
    <xf numFmtId="164" fontId="12" fillId="11" borderId="14" xfId="0" applyNumberFormat="1" applyFont="1" applyFill="1" applyBorder="1" applyAlignment="1">
      <alignment horizontal="center"/>
    </xf>
    <xf numFmtId="164" fontId="12" fillId="11" borderId="17" xfId="0" applyNumberFormat="1" applyFont="1" applyFill="1" applyBorder="1" applyAlignment="1">
      <alignment horizontal="center"/>
    </xf>
    <xf numFmtId="164" fontId="12" fillId="11" borderId="25" xfId="0" applyNumberFormat="1" applyFont="1" applyFill="1" applyBorder="1" applyAlignment="1">
      <alignment horizontal="center"/>
    </xf>
    <xf numFmtId="166" fontId="14" fillId="11" borderId="18" xfId="0" applyNumberFormat="1" applyFont="1" applyFill="1" applyBorder="1" applyAlignment="1">
      <alignment horizontal="center" vertical="center"/>
    </xf>
    <xf numFmtId="164" fontId="12" fillId="11" borderId="18" xfId="0" applyNumberFormat="1" applyFont="1" applyFill="1" applyBorder="1" applyAlignment="1">
      <alignment horizontal="center"/>
    </xf>
    <xf numFmtId="164" fontId="12" fillId="11" borderId="26" xfId="0" applyNumberFormat="1" applyFont="1" applyFill="1" applyBorder="1" applyAlignment="1">
      <alignment horizontal="center"/>
    </xf>
    <xf numFmtId="164" fontId="12" fillId="13" borderId="24" xfId="0" applyNumberFormat="1" applyFont="1" applyFill="1" applyBorder="1" applyAlignment="1">
      <alignment horizontal="center"/>
    </xf>
    <xf numFmtId="164" fontId="12" fillId="13" borderId="26" xfId="0" applyNumberFormat="1" applyFont="1" applyFill="1" applyBorder="1" applyAlignment="1">
      <alignment horizontal="center"/>
    </xf>
    <xf numFmtId="0" fontId="12" fillId="14" borderId="0" xfId="0" applyFont="1" applyFill="1"/>
    <xf numFmtId="0" fontId="50" fillId="0" borderId="0" xfId="0" applyFont="1" applyBorder="1" applyAlignment="1">
      <alignment horizontal="center" vertical="center"/>
    </xf>
    <xf numFmtId="0" fontId="51" fillId="0" borderId="0" xfId="0" applyFont="1" applyBorder="1" applyAlignment="1">
      <alignment horizontal="center" vertical="center"/>
    </xf>
    <xf numFmtId="0" fontId="12" fillId="0" borderId="40" xfId="0" applyFont="1" applyBorder="1" applyAlignment="1">
      <alignment horizontal="center" vertical="center"/>
    </xf>
    <xf numFmtId="166" fontId="12" fillId="2" borderId="0" xfId="0" applyNumberFormat="1" applyFont="1" applyFill="1" applyBorder="1"/>
    <xf numFmtId="0" fontId="12" fillId="0" borderId="15" xfId="0" applyFont="1" applyBorder="1" applyAlignment="1">
      <alignment horizontal="center" vertical="center"/>
    </xf>
    <xf numFmtId="0" fontId="12" fillId="0" borderId="0" xfId="0" applyFont="1" applyFill="1" applyAlignment="1">
      <alignment horizontal="center"/>
    </xf>
    <xf numFmtId="168" fontId="12" fillId="0" borderId="0" xfId="0" applyNumberFormat="1" applyFont="1"/>
    <xf numFmtId="2" fontId="12" fillId="0" borderId="0" xfId="0" applyNumberFormat="1" applyFont="1" applyBorder="1" applyAlignment="1">
      <alignment horizontal="center"/>
    </xf>
    <xf numFmtId="2" fontId="12" fillId="0" borderId="18" xfId="0" applyNumberFormat="1" applyFont="1" applyBorder="1" applyAlignment="1">
      <alignment horizontal="center"/>
    </xf>
    <xf numFmtId="164" fontId="17" fillId="2" borderId="0" xfId="0" applyNumberFormat="1" applyFont="1" applyFill="1" applyBorder="1" applyAlignment="1">
      <alignment horizontal="center"/>
    </xf>
    <xf numFmtId="164" fontId="12" fillId="0" borderId="26" xfId="0" applyNumberFormat="1" applyFont="1" applyBorder="1" applyAlignment="1">
      <alignment horizontal="center"/>
    </xf>
    <xf numFmtId="164" fontId="17" fillId="0" borderId="17" xfId="0" applyNumberFormat="1" applyFont="1" applyBorder="1" applyAlignment="1">
      <alignment horizontal="center"/>
    </xf>
    <xf numFmtId="0" fontId="45" fillId="0" borderId="0" xfId="0" applyFont="1" applyBorder="1" applyAlignment="1" applyProtection="1">
      <alignment horizontal="right"/>
    </xf>
    <xf numFmtId="2" fontId="17" fillId="0" borderId="17" xfId="0" applyNumberFormat="1" applyFont="1" applyBorder="1" applyAlignment="1">
      <alignment horizontal="center"/>
    </xf>
    <xf numFmtId="2" fontId="12" fillId="0" borderId="17" xfId="0" applyNumberFormat="1" applyFont="1" applyBorder="1" applyAlignment="1">
      <alignment horizontal="center"/>
    </xf>
    <xf numFmtId="2" fontId="12" fillId="0" borderId="26" xfId="0" applyNumberFormat="1" applyFont="1" applyBorder="1" applyAlignment="1">
      <alignment horizontal="center"/>
    </xf>
    <xf numFmtId="164" fontId="12" fillId="2" borderId="0" xfId="0" applyNumberFormat="1" applyFont="1" applyFill="1" applyBorder="1"/>
    <xf numFmtId="2" fontId="14" fillId="0" borderId="4" xfId="0" applyNumberFormat="1" applyFont="1" applyFill="1" applyBorder="1" applyAlignment="1">
      <alignment horizontal="center" vertical="center"/>
    </xf>
    <xf numFmtId="2" fontId="14" fillId="0" borderId="6" xfId="0" applyNumberFormat="1" applyFont="1" applyFill="1" applyBorder="1" applyAlignment="1">
      <alignment horizontal="center" vertical="center"/>
    </xf>
    <xf numFmtId="2" fontId="14" fillId="0" borderId="0" xfId="0" applyNumberFormat="1" applyFont="1" applyFill="1" applyAlignment="1">
      <alignment horizontal="center"/>
    </xf>
    <xf numFmtId="2" fontId="12" fillId="6" borderId="1" xfId="0" applyNumberFormat="1" applyFont="1" applyFill="1" applyBorder="1" applyAlignment="1" applyProtection="1">
      <alignment horizontal="center" vertical="center"/>
      <protection locked="0"/>
    </xf>
    <xf numFmtId="2" fontId="12" fillId="5" borderId="1" xfId="0" applyNumberFormat="1" applyFont="1" applyFill="1" applyBorder="1" applyAlignment="1" applyProtection="1">
      <alignment horizontal="center" vertical="center"/>
      <protection locked="0"/>
    </xf>
    <xf numFmtId="2" fontId="12" fillId="16" borderId="1" xfId="0" applyNumberFormat="1" applyFont="1" applyFill="1" applyBorder="1" applyAlignment="1" applyProtection="1">
      <alignment horizontal="center" vertical="center"/>
      <protection locked="0"/>
    </xf>
    <xf numFmtId="0" fontId="31" fillId="4" borderId="1" xfId="0" applyFont="1" applyFill="1" applyBorder="1" applyAlignment="1" applyProtection="1">
      <alignment horizontal="center"/>
      <protection locked="0"/>
    </xf>
    <xf numFmtId="2" fontId="14" fillId="0" borderId="1" xfId="0" applyNumberFormat="1" applyFont="1" applyFill="1" applyBorder="1" applyAlignment="1">
      <alignment horizontal="center" vertical="center"/>
    </xf>
    <xf numFmtId="2" fontId="14" fillId="0" borderId="1" xfId="0" quotePrefix="1" applyNumberFormat="1" applyFont="1" applyFill="1" applyBorder="1" applyAlignment="1" applyProtection="1">
      <alignment horizontal="center" vertical="center"/>
    </xf>
    <xf numFmtId="0" fontId="17" fillId="0" borderId="0" xfId="0" applyFont="1" applyFill="1" applyAlignment="1">
      <alignment horizontal="left" vertical="center"/>
    </xf>
    <xf numFmtId="0" fontId="31" fillId="0" borderId="1" xfId="0" applyFont="1" applyBorder="1" applyAlignment="1">
      <alignment horizontal="center" vertical="center"/>
    </xf>
    <xf numFmtId="2" fontId="31" fillId="0" borderId="1" xfId="0" applyNumberFormat="1" applyFont="1" applyBorder="1" applyAlignment="1">
      <alignment horizontal="center" vertical="center"/>
    </xf>
    <xf numFmtId="0" fontId="31" fillId="0" borderId="27" xfId="0" applyFont="1" applyBorder="1" applyAlignment="1">
      <alignment horizontal="center"/>
    </xf>
    <xf numFmtId="0" fontId="31" fillId="0" borderId="24" xfId="0" applyFont="1" applyBorder="1" applyAlignment="1">
      <alignment horizontal="center"/>
    </xf>
    <xf numFmtId="0" fontId="31" fillId="0" borderId="41" xfId="0" applyFont="1" applyBorder="1" applyAlignment="1">
      <alignment horizontal="center"/>
    </xf>
    <xf numFmtId="0" fontId="31" fillId="0" borderId="14" xfId="0" applyFont="1" applyBorder="1" applyAlignment="1">
      <alignment horizontal="center"/>
    </xf>
    <xf numFmtId="0" fontId="31" fillId="0" borderId="17" xfId="0" applyFont="1" applyBorder="1" applyAlignment="1">
      <alignment horizontal="center"/>
    </xf>
    <xf numFmtId="0" fontId="31" fillId="0" borderId="25" xfId="0" applyFont="1" applyBorder="1" applyAlignment="1">
      <alignment horizontal="center"/>
    </xf>
    <xf numFmtId="0" fontId="31" fillId="0" borderId="26" xfId="0" applyFont="1" applyBorder="1" applyAlignment="1">
      <alignment horizontal="center"/>
    </xf>
    <xf numFmtId="0" fontId="31" fillId="0" borderId="32" xfId="0" applyFont="1" applyBorder="1" applyAlignment="1">
      <alignment horizontal="center"/>
    </xf>
    <xf numFmtId="0" fontId="31" fillId="0" borderId="0" xfId="0" applyFont="1" applyBorder="1" applyAlignment="1">
      <alignment horizontal="center"/>
    </xf>
    <xf numFmtId="0" fontId="31" fillId="0" borderId="18" xfId="0" applyFont="1" applyBorder="1" applyAlignment="1">
      <alignment horizontal="center"/>
    </xf>
    <xf numFmtId="0" fontId="12" fillId="0" borderId="28" xfId="0" applyFont="1" applyBorder="1" applyAlignment="1">
      <alignment horizontal="center" vertical="center"/>
    </xf>
    <xf numFmtId="164" fontId="12" fillId="12" borderId="27" xfId="0" applyNumberFormat="1" applyFont="1" applyFill="1" applyBorder="1" applyAlignment="1">
      <alignment horizontal="center"/>
    </xf>
    <xf numFmtId="0" fontId="17" fillId="0" borderId="0" xfId="0" applyFont="1" applyAlignment="1">
      <alignment horizontal="left"/>
    </xf>
    <xf numFmtId="0" fontId="8" fillId="0" borderId="1" xfId="0" applyFont="1" applyBorder="1" applyAlignment="1">
      <alignment horizontal="center" vertical="center"/>
    </xf>
    <xf numFmtId="0" fontId="12" fillId="0" borderId="1" xfId="0" applyFont="1" applyBorder="1" applyAlignment="1">
      <alignment horizontal="center" vertical="center"/>
    </xf>
    <xf numFmtId="0" fontId="0" fillId="0" borderId="1" xfId="0" applyBorder="1"/>
    <xf numFmtId="0" fontId="8" fillId="0" borderId="1" xfId="0" applyFont="1" applyBorder="1" applyAlignment="1">
      <alignment horizontal="center"/>
    </xf>
    <xf numFmtId="0" fontId="0" fillId="0" borderId="3" xfId="0" applyBorder="1"/>
    <xf numFmtId="0" fontId="0" fillId="0" borderId="5" xfId="0" applyBorder="1"/>
    <xf numFmtId="0" fontId="2" fillId="0" borderId="5" xfId="0" applyFont="1" applyBorder="1"/>
    <xf numFmtId="0" fontId="2" fillId="0" borderId="0" xfId="0" applyFont="1" applyBorder="1"/>
    <xf numFmtId="0" fontId="0" fillId="0" borderId="4" xfId="0" applyFill="1" applyBorder="1" applyAlignment="1">
      <alignment horizontal="center"/>
    </xf>
    <xf numFmtId="0" fontId="0" fillId="14" borderId="0" xfId="0" applyFill="1"/>
    <xf numFmtId="2" fontId="0" fillId="19" borderId="1" xfId="0" applyNumberFormat="1" applyFill="1" applyBorder="1" applyAlignment="1">
      <alignment horizontal="center"/>
    </xf>
    <xf numFmtId="0" fontId="0" fillId="19" borderId="1" xfId="0" applyFill="1" applyBorder="1" applyAlignment="1">
      <alignment horizontal="center"/>
    </xf>
    <xf numFmtId="0" fontId="8" fillId="0" borderId="1" xfId="0" applyFont="1" applyFill="1" applyBorder="1" applyAlignment="1">
      <alignment horizontal="center"/>
    </xf>
    <xf numFmtId="164" fontId="8" fillId="0" borderId="42" xfId="0" applyNumberFormat="1" applyFont="1" applyFill="1" applyBorder="1" applyAlignment="1">
      <alignment horizontal="center"/>
    </xf>
    <xf numFmtId="0" fontId="0" fillId="0" borderId="2" xfId="0" applyBorder="1"/>
    <xf numFmtId="0" fontId="9" fillId="14" borderId="0" xfId="0" applyFont="1" applyFill="1" applyBorder="1" applyAlignment="1">
      <alignment horizontal="center"/>
    </xf>
    <xf numFmtId="0" fontId="22" fillId="14" borderId="0" xfId="0" applyFont="1" applyFill="1"/>
    <xf numFmtId="2" fontId="14" fillId="0" borderId="4" xfId="0" applyNumberFormat="1" applyFont="1" applyFill="1" applyBorder="1" applyAlignment="1">
      <alignment horizontal="center"/>
    </xf>
    <xf numFmtId="2" fontId="14" fillId="0" borderId="6" xfId="0" applyNumberFormat="1" applyFont="1" applyFill="1" applyBorder="1" applyAlignment="1">
      <alignment horizontal="center"/>
    </xf>
    <xf numFmtId="0" fontId="33" fillId="0" borderId="0" xfId="0" applyFont="1" applyFill="1"/>
    <xf numFmtId="0" fontId="2" fillId="0" borderId="0" xfId="0" applyFont="1" applyFill="1"/>
    <xf numFmtId="0" fontId="0" fillId="0" borderId="0" xfId="0" applyFill="1" applyAlignment="1">
      <alignment vertical="top"/>
    </xf>
    <xf numFmtId="0" fontId="14" fillId="0" borderId="0" xfId="0" applyFont="1" applyFill="1" applyBorder="1" applyAlignment="1">
      <alignment horizontal="right"/>
    </xf>
    <xf numFmtId="0" fontId="0" fillId="0" borderId="0" xfId="0" applyFill="1" applyBorder="1"/>
    <xf numFmtId="0" fontId="17" fillId="0" borderId="0" xfId="0" applyFont="1" applyFill="1" applyBorder="1"/>
    <xf numFmtId="0" fontId="12" fillId="0" borderId="0" xfId="0" applyFont="1" applyFill="1" applyBorder="1"/>
    <xf numFmtId="0" fontId="0" fillId="0" borderId="3" xfId="0" applyFill="1" applyBorder="1"/>
    <xf numFmtId="0" fontId="0" fillId="0" borderId="4" xfId="0" applyFill="1" applyBorder="1"/>
    <xf numFmtId="0" fontId="0" fillId="0" borderId="6" xfId="0" applyFill="1" applyBorder="1"/>
    <xf numFmtId="0" fontId="0" fillId="0" borderId="5" xfId="0" applyFill="1" applyBorder="1"/>
    <xf numFmtId="0" fontId="12" fillId="0" borderId="0" xfId="0" applyFont="1" applyFill="1" applyBorder="1" applyAlignment="1">
      <alignment vertical="center"/>
    </xf>
    <xf numFmtId="0" fontId="0" fillId="0" borderId="7" xfId="0" applyFill="1" applyBorder="1"/>
    <xf numFmtId="0" fontId="0" fillId="0" borderId="8" xfId="0" applyFill="1" applyBorder="1"/>
    <xf numFmtId="0" fontId="0" fillId="0" borderId="9" xfId="0" applyFill="1" applyBorder="1"/>
    <xf numFmtId="0" fontId="0" fillId="0" borderId="0" xfId="0" applyFill="1" applyAlignment="1">
      <alignment horizontal="center"/>
    </xf>
    <xf numFmtId="0" fontId="12" fillId="0" borderId="1" xfId="0" applyFont="1" applyFill="1" applyBorder="1" applyAlignment="1">
      <alignment horizontal="center"/>
    </xf>
    <xf numFmtId="0" fontId="58" fillId="0" borderId="0" xfId="0" applyFont="1" applyFill="1" applyAlignment="1" applyProtection="1">
      <alignment horizontal="right" vertical="center"/>
    </xf>
    <xf numFmtId="165" fontId="12" fillId="0" borderId="1" xfId="0" applyNumberFormat="1" applyFont="1" applyFill="1" applyBorder="1" applyAlignment="1">
      <alignment horizontal="center"/>
    </xf>
    <xf numFmtId="0" fontId="0" fillId="0" borderId="0" xfId="0" applyAlignment="1">
      <alignment vertical="center"/>
    </xf>
    <xf numFmtId="0" fontId="0" fillId="0" borderId="0" xfId="0" applyAlignment="1">
      <alignment horizontal="center" vertical="center"/>
    </xf>
    <xf numFmtId="0" fontId="23" fillId="0" borderId="0" xfId="0" applyFont="1" applyFill="1" applyAlignment="1">
      <alignment horizontal="right" vertical="center"/>
    </xf>
    <xf numFmtId="2" fontId="14" fillId="15" borderId="1" xfId="0" applyNumberFormat="1" applyFont="1" applyFill="1" applyBorder="1" applyAlignment="1" applyProtection="1">
      <alignment horizontal="center" vertical="center"/>
      <protection locked="0"/>
    </xf>
    <xf numFmtId="0" fontId="0" fillId="15" borderId="1" xfId="0" applyFill="1" applyBorder="1" applyAlignment="1" applyProtection="1">
      <alignment horizontal="center"/>
      <protection locked="0"/>
    </xf>
    <xf numFmtId="2" fontId="0" fillId="15" borderId="1" xfId="0" applyNumberFormat="1" applyFill="1" applyBorder="1" applyAlignment="1" applyProtection="1">
      <alignment horizontal="center"/>
      <protection locked="0"/>
    </xf>
    <xf numFmtId="164" fontId="0" fillId="0" borderId="0" xfId="0" applyNumberFormat="1" applyAlignment="1">
      <alignment horizontal="center"/>
    </xf>
    <xf numFmtId="0" fontId="37" fillId="5" borderId="1" xfId="0" applyFont="1" applyFill="1" applyBorder="1" applyAlignment="1" applyProtection="1">
      <alignment horizontal="center"/>
      <protection locked="0"/>
    </xf>
    <xf numFmtId="0" fontId="9" fillId="0" borderId="0" xfId="0" applyNumberFormat="1" applyFont="1"/>
    <xf numFmtId="0" fontId="62" fillId="0" borderId="0" xfId="0" applyFont="1"/>
    <xf numFmtId="0" fontId="0" fillId="0" borderId="0" xfId="0" quotePrefix="1"/>
    <xf numFmtId="14" fontId="0" fillId="0" borderId="0" xfId="0" applyNumberFormat="1"/>
    <xf numFmtId="0" fontId="12" fillId="0" borderId="0" xfId="0" applyFont="1" applyAlignment="1" applyProtection="1">
      <alignment horizontal="center" vertical="center"/>
    </xf>
    <xf numFmtId="0" fontId="0" fillId="0" borderId="0" xfId="0" applyProtection="1"/>
    <xf numFmtId="0" fontId="17" fillId="0" borderId="2" xfId="0" applyFont="1" applyBorder="1" applyAlignment="1" applyProtection="1">
      <alignment horizontal="left" vertical="center"/>
    </xf>
    <xf numFmtId="0" fontId="17" fillId="0" borderId="7" xfId="0" applyFont="1" applyBorder="1" applyAlignment="1" applyProtection="1">
      <alignment horizontal="left" vertical="center"/>
    </xf>
    <xf numFmtId="0" fontId="14" fillId="0" borderId="0" xfId="0" applyFont="1" applyProtection="1"/>
    <xf numFmtId="0" fontId="14" fillId="0" borderId="0" xfId="0" applyFont="1" applyAlignment="1" applyProtection="1">
      <alignment vertical="center"/>
    </xf>
    <xf numFmtId="14" fontId="0" fillId="0" borderId="0" xfId="0" applyNumberFormat="1" applyBorder="1" applyAlignment="1" applyProtection="1">
      <alignment horizontal="left" vertical="center"/>
    </xf>
    <xf numFmtId="0" fontId="14" fillId="0" borderId="11" xfId="0" applyFont="1" applyBorder="1" applyAlignment="1" applyProtection="1">
      <alignment vertical="center"/>
    </xf>
    <xf numFmtId="0" fontId="14" fillId="0" borderId="12" xfId="0" applyFont="1" applyBorder="1" applyAlignment="1" applyProtection="1">
      <alignment vertical="center"/>
    </xf>
    <xf numFmtId="0" fontId="14" fillId="0" borderId="0" xfId="0" applyFont="1" applyBorder="1" applyProtection="1"/>
    <xf numFmtId="0" fontId="0" fillId="0" borderId="0" xfId="0" applyBorder="1" applyProtection="1"/>
    <xf numFmtId="0" fontId="14" fillId="0" borderId="0" xfId="0" applyFont="1" applyBorder="1" applyAlignment="1" applyProtection="1">
      <alignment horizontal="left"/>
    </xf>
    <xf numFmtId="0" fontId="35" fillId="0" borderId="0" xfId="0" applyFont="1" applyBorder="1" applyAlignment="1" applyProtection="1">
      <alignment vertical="center"/>
    </xf>
    <xf numFmtId="0" fontId="17" fillId="0" borderId="0" xfId="0" applyFont="1" applyFill="1" applyBorder="1" applyAlignment="1" applyProtection="1">
      <alignment horizontal="right" vertical="center"/>
    </xf>
    <xf numFmtId="0" fontId="2" fillId="0" borderId="0" xfId="0" applyFont="1" applyBorder="1" applyAlignment="1" applyProtection="1">
      <alignment vertical="center"/>
    </xf>
    <xf numFmtId="0" fontId="17" fillId="0" borderId="0" xfId="0" applyFont="1" applyFill="1" applyBorder="1" applyAlignment="1" applyProtection="1">
      <alignment vertical="center"/>
    </xf>
    <xf numFmtId="0" fontId="12" fillId="0" borderId="0" xfId="0" applyFont="1" applyBorder="1" applyAlignment="1" applyProtection="1">
      <alignment horizontal="center" vertical="center"/>
    </xf>
    <xf numFmtId="0" fontId="17" fillId="0" borderId="0" xfId="0" applyFont="1" applyBorder="1" applyAlignment="1" applyProtection="1">
      <alignment horizontal="right" vertical="center"/>
    </xf>
    <xf numFmtId="0" fontId="45" fillId="4" borderId="1" xfId="0" applyFont="1" applyFill="1" applyBorder="1" applyProtection="1"/>
    <xf numFmtId="0" fontId="37" fillId="0" borderId="0" xfId="0" quotePrefix="1" applyFont="1" applyProtection="1"/>
    <xf numFmtId="0" fontId="45" fillId="5" borderId="1" xfId="0" applyFont="1" applyFill="1" applyBorder="1" applyProtection="1"/>
    <xf numFmtId="0" fontId="45" fillId="6" borderId="1" xfId="0" applyFont="1" applyFill="1" applyBorder="1" applyProtection="1"/>
    <xf numFmtId="0" fontId="45" fillId="16" borderId="1" xfId="0" applyFont="1" applyFill="1" applyBorder="1" applyProtection="1"/>
    <xf numFmtId="0" fontId="45" fillId="15" borderId="1" xfId="0" applyFont="1" applyFill="1" applyBorder="1" applyProtection="1"/>
    <xf numFmtId="0" fontId="45" fillId="0" borderId="4" xfId="0" applyFont="1" applyBorder="1" applyProtection="1"/>
    <xf numFmtId="0" fontId="0" fillId="0" borderId="5" xfId="0" applyBorder="1" applyProtection="1"/>
    <xf numFmtId="0" fontId="0" fillId="0" borderId="0" xfId="0" applyBorder="1" applyAlignment="1" applyProtection="1">
      <alignment horizontal="right"/>
    </xf>
    <xf numFmtId="0" fontId="0" fillId="0" borderId="7" xfId="0" applyBorder="1" applyProtection="1"/>
    <xf numFmtId="0" fontId="0" fillId="0" borderId="8" xfId="0" applyBorder="1" applyProtection="1"/>
    <xf numFmtId="0" fontId="0" fillId="0" borderId="6" xfId="0" applyBorder="1" applyProtection="1"/>
    <xf numFmtId="0" fontId="14" fillId="0" borderId="5" xfId="0" applyFont="1" applyBorder="1" applyAlignment="1" applyProtection="1">
      <alignment vertical="center"/>
    </xf>
    <xf numFmtId="0" fontId="33" fillId="0" borderId="5" xfId="0" applyFont="1" applyFill="1" applyBorder="1" applyAlignment="1" applyProtection="1">
      <alignment vertical="top" wrapText="1"/>
    </xf>
    <xf numFmtId="0" fontId="33" fillId="0" borderId="6" xfId="0" applyFont="1" applyFill="1" applyBorder="1" applyAlignment="1" applyProtection="1">
      <alignment vertical="top" wrapText="1"/>
    </xf>
    <xf numFmtId="0" fontId="37" fillId="0" borderId="0" xfId="0" applyFont="1" applyFill="1" applyBorder="1" applyAlignment="1" applyProtection="1">
      <alignment horizontal="center" vertical="center"/>
    </xf>
    <xf numFmtId="0" fontId="33" fillId="0" borderId="0" xfId="0" applyFont="1" applyFill="1" applyBorder="1" applyAlignment="1" applyProtection="1">
      <alignment vertical="top" wrapText="1"/>
    </xf>
    <xf numFmtId="0" fontId="0" fillId="0" borderId="5" xfId="0" applyBorder="1" applyAlignment="1" applyProtection="1">
      <alignment vertical="center"/>
    </xf>
    <xf numFmtId="0" fontId="14" fillId="0" borderId="6" xfId="0" applyFont="1" applyBorder="1" applyProtection="1"/>
    <xf numFmtId="0" fontId="2" fillId="0" borderId="0" xfId="0" applyFont="1" applyProtection="1"/>
    <xf numFmtId="0" fontId="0" fillId="0" borderId="0" xfId="0" applyAlignment="1" applyProtection="1">
      <alignment vertical="center"/>
    </xf>
    <xf numFmtId="0" fontId="0" fillId="0" borderId="3" xfId="0" applyBorder="1" applyAlignment="1" applyProtection="1">
      <alignment vertical="center"/>
    </xf>
    <xf numFmtId="0" fontId="64" fillId="0" borderId="0" xfId="0" applyFont="1" applyProtection="1"/>
    <xf numFmtId="0" fontId="64" fillId="0" borderId="0" xfId="0" applyFont="1" applyAlignment="1" applyProtection="1">
      <alignment vertical="center"/>
    </xf>
    <xf numFmtId="2" fontId="65" fillId="0" borderId="0" xfId="0" applyNumberFormat="1" applyFont="1" applyFill="1" applyBorder="1" applyAlignment="1" applyProtection="1">
      <alignment horizontal="center"/>
    </xf>
    <xf numFmtId="0" fontId="65" fillId="0" borderId="0" xfId="0" applyFont="1" applyProtection="1"/>
    <xf numFmtId="0" fontId="12" fillId="0" borderId="0" xfId="0" applyFont="1" applyFill="1" applyBorder="1" applyAlignment="1" applyProtection="1">
      <alignment horizontal="center" vertical="center"/>
    </xf>
    <xf numFmtId="0" fontId="0" fillId="0" borderId="0" xfId="0" applyAlignment="1" applyProtection="1">
      <alignment horizontal="center"/>
    </xf>
    <xf numFmtId="0" fontId="14" fillId="0" borderId="0" xfId="0" applyFont="1" applyFill="1" applyBorder="1" applyAlignment="1" applyProtection="1">
      <alignment vertical="center"/>
    </xf>
    <xf numFmtId="0" fontId="8" fillId="0" borderId="0" xfId="0" applyFont="1" applyAlignment="1" applyProtection="1">
      <alignment horizontal="right"/>
    </xf>
    <xf numFmtId="0" fontId="33" fillId="0" borderId="0" xfId="0" applyFont="1" applyProtection="1"/>
    <xf numFmtId="0" fontId="0" fillId="0" borderId="0" xfId="0" applyFill="1" applyBorder="1" applyAlignment="1" applyProtection="1">
      <alignment horizontal="center"/>
    </xf>
    <xf numFmtId="0" fontId="66" fillId="0" borderId="0" xfId="0" applyFont="1"/>
    <xf numFmtId="0" fontId="14" fillId="6" borderId="1" xfId="0" applyFont="1" applyFill="1" applyBorder="1" applyAlignment="1" applyProtection="1">
      <alignment horizontal="center"/>
      <protection locked="0"/>
    </xf>
    <xf numFmtId="0" fontId="14" fillId="0" borderId="0" xfId="0" applyFont="1" applyAlignment="1" applyProtection="1">
      <alignment horizontal="right" vertical="center"/>
    </xf>
    <xf numFmtId="2" fontId="33" fillId="0" borderId="0" xfId="0" applyNumberFormat="1" applyFont="1" applyAlignment="1">
      <alignment horizontal="center"/>
    </xf>
    <xf numFmtId="0" fontId="68" fillId="0" borderId="0" xfId="0" applyFont="1" applyFill="1" applyBorder="1" applyProtection="1"/>
    <xf numFmtId="0" fontId="12" fillId="0" borderId="0" xfId="0" applyFont="1" applyAlignment="1">
      <alignment horizontal="left"/>
    </xf>
    <xf numFmtId="0" fontId="33" fillId="0" borderId="0" xfId="0" applyFont="1" applyBorder="1" applyAlignment="1" applyProtection="1">
      <alignment horizontal="center"/>
    </xf>
    <xf numFmtId="0" fontId="33" fillId="0" borderId="0" xfId="0" applyFont="1" applyBorder="1" applyProtection="1"/>
    <xf numFmtId="0" fontId="68" fillId="0" borderId="0" xfId="0" applyFont="1" applyBorder="1" applyAlignment="1" applyProtection="1">
      <alignment horizontal="right"/>
    </xf>
    <xf numFmtId="0" fontId="56" fillId="0" borderId="0" xfId="0" applyFont="1" applyBorder="1" applyAlignment="1" applyProtection="1">
      <alignment horizontal="right"/>
    </xf>
    <xf numFmtId="0" fontId="68" fillId="0" borderId="8" xfId="0" applyFont="1" applyBorder="1" applyAlignment="1" applyProtection="1">
      <alignment horizontal="right"/>
    </xf>
    <xf numFmtId="0" fontId="2" fillId="0" borderId="0" xfId="0" applyFont="1" applyBorder="1" applyProtection="1"/>
    <xf numFmtId="0" fontId="14" fillId="0" borderId="0" xfId="0" applyFont="1" applyFill="1" applyBorder="1" applyAlignment="1" applyProtection="1">
      <alignment horizontal="right" vertical="center"/>
    </xf>
    <xf numFmtId="0" fontId="14" fillId="0" borderId="0" xfId="0" applyFont="1" applyFill="1" applyAlignment="1" applyProtection="1">
      <alignment horizontal="right" vertical="center"/>
    </xf>
    <xf numFmtId="0" fontId="37" fillId="5" borderId="1" xfId="0" applyFont="1" applyFill="1" applyBorder="1" applyAlignment="1" applyProtection="1">
      <alignment horizontal="center" vertical="center"/>
      <protection locked="0"/>
    </xf>
    <xf numFmtId="0" fontId="12" fillId="0" borderId="0" xfId="0" applyFont="1" applyAlignment="1" applyProtection="1">
      <alignment horizontal="center" vertical="center"/>
    </xf>
    <xf numFmtId="0" fontId="0" fillId="0" borderId="8" xfId="0" applyBorder="1"/>
    <xf numFmtId="0" fontId="33" fillId="0" borderId="0" xfId="0" applyFont="1" applyBorder="1" applyAlignment="1" applyProtection="1">
      <alignment wrapText="1"/>
    </xf>
    <xf numFmtId="166" fontId="12" fillId="0" borderId="0" xfId="0" applyNumberFormat="1" applyFont="1" applyFill="1" applyBorder="1" applyAlignment="1" applyProtection="1">
      <alignment horizontal="center" vertical="center"/>
      <protection locked="0"/>
    </xf>
    <xf numFmtId="0" fontId="12" fillId="0" borderId="0" xfId="0" applyFont="1" applyFill="1" applyAlignment="1" applyProtection="1">
      <alignment vertical="center"/>
    </xf>
    <xf numFmtId="0" fontId="12" fillId="0" borderId="0" xfId="0" applyFont="1" applyFill="1" applyBorder="1" applyAlignment="1" applyProtection="1">
      <alignment horizontal="right"/>
    </xf>
    <xf numFmtId="164" fontId="37" fillId="0" borderId="0" xfId="0" applyNumberFormat="1" applyFont="1" applyFill="1" applyBorder="1" applyAlignment="1" applyProtection="1">
      <alignment horizontal="center"/>
      <protection locked="0"/>
    </xf>
    <xf numFmtId="0" fontId="0" fillId="0" borderId="0" xfId="0" applyFill="1" applyProtection="1"/>
    <xf numFmtId="165" fontId="12" fillId="0" borderId="0" xfId="0" applyNumberFormat="1" applyFont="1" applyFill="1" applyBorder="1" applyAlignment="1" applyProtection="1">
      <alignment horizontal="center" vertical="center"/>
      <protection locked="0"/>
    </xf>
    <xf numFmtId="0" fontId="12" fillId="0" borderId="0" xfId="0" applyFont="1" applyFill="1" applyBorder="1" applyAlignment="1" applyProtection="1">
      <alignment horizontal="center"/>
      <protection locked="0"/>
    </xf>
    <xf numFmtId="0" fontId="12" fillId="0" borderId="0" xfId="0" applyFont="1" applyFill="1" applyProtection="1"/>
    <xf numFmtId="0" fontId="37" fillId="0" borderId="0" xfId="0" applyFont="1" applyFill="1" applyBorder="1" applyAlignment="1" applyProtection="1">
      <alignment horizontal="center"/>
      <protection locked="0"/>
    </xf>
    <xf numFmtId="0" fontId="12" fillId="0" borderId="0" xfId="0" applyFont="1" applyFill="1" applyBorder="1" applyAlignment="1" applyProtection="1">
      <alignment horizontal="center" vertical="center"/>
      <protection locked="0"/>
    </xf>
    <xf numFmtId="2" fontId="12" fillId="0" borderId="0" xfId="0" applyNumberFormat="1" applyFont="1" applyFill="1" applyBorder="1" applyAlignment="1" applyProtection="1">
      <alignment horizontal="center" vertical="center"/>
      <protection locked="0"/>
    </xf>
    <xf numFmtId="0" fontId="14" fillId="0" borderId="0" xfId="0" applyNumberFormat="1" applyFont="1" applyFill="1" applyBorder="1" applyAlignment="1" applyProtection="1">
      <alignment horizontal="center" vertical="center"/>
      <protection locked="0"/>
    </xf>
    <xf numFmtId="0" fontId="14" fillId="0" borderId="0" xfId="0" applyFont="1" applyFill="1" applyBorder="1" applyAlignment="1" applyProtection="1">
      <alignment horizontal="left" vertical="top"/>
      <protection locked="0"/>
    </xf>
    <xf numFmtId="0" fontId="0" fillId="0" borderId="0" xfId="0" applyAlignment="1" applyProtection="1">
      <alignment horizontal="left" vertical="top"/>
    </xf>
    <xf numFmtId="0" fontId="17" fillId="0" borderId="0" xfId="0" applyFont="1" applyAlignment="1" applyProtection="1">
      <alignment vertical="center" wrapText="1"/>
    </xf>
    <xf numFmtId="0" fontId="14" fillId="0" borderId="0" xfId="0" applyFont="1" applyFill="1" applyBorder="1" applyAlignment="1" applyProtection="1">
      <alignment vertical="top"/>
      <protection locked="0"/>
    </xf>
    <xf numFmtId="0" fontId="54" fillId="0" borderId="11" xfId="0" applyFont="1" applyFill="1" applyBorder="1" applyAlignment="1">
      <alignment horizontal="center" vertical="center" wrapText="1"/>
    </xf>
    <xf numFmtId="0" fontId="33" fillId="0" borderId="12" xfId="0" applyFont="1" applyFill="1" applyBorder="1" applyAlignment="1">
      <alignment horizontal="center" vertical="center" wrapText="1"/>
    </xf>
    <xf numFmtId="1" fontId="53" fillId="0" borderId="0" xfId="0" applyNumberFormat="1" applyFont="1" applyFill="1" applyBorder="1" applyAlignment="1">
      <alignment horizontal="center" vertical="center"/>
    </xf>
    <xf numFmtId="1" fontId="53" fillId="0" borderId="8" xfId="0" applyNumberFormat="1" applyFont="1" applyFill="1" applyBorder="1" applyAlignment="1">
      <alignment horizontal="center" vertical="center"/>
    </xf>
    <xf numFmtId="0" fontId="14" fillId="0" borderId="11" xfId="0" applyFont="1" applyFill="1" applyBorder="1"/>
    <xf numFmtId="0" fontId="14" fillId="0" borderId="0" xfId="0" applyFont="1" applyFill="1" applyBorder="1" applyAlignment="1" applyProtection="1">
      <alignment horizontal="left" vertical="center"/>
    </xf>
    <xf numFmtId="165" fontId="12" fillId="0" borderId="0" xfId="0" applyNumberFormat="1" applyFont="1" applyFill="1" applyBorder="1" applyAlignment="1" applyProtection="1">
      <alignment horizontal="left" vertical="center"/>
    </xf>
    <xf numFmtId="0" fontId="12" fillId="0" borderId="0" xfId="0" applyFont="1" applyAlignment="1" applyProtection="1">
      <alignment horizontal="center" vertical="center"/>
    </xf>
    <xf numFmtId="0" fontId="2" fillId="0" borderId="0" xfId="0" applyFont="1" applyFill="1" applyBorder="1" applyAlignment="1">
      <alignment horizontal="center" vertical="center"/>
    </xf>
    <xf numFmtId="0" fontId="0" fillId="0" borderId="0" xfId="0" applyFill="1" applyAlignment="1">
      <alignment horizontal="center" vertical="top"/>
    </xf>
    <xf numFmtId="0" fontId="12" fillId="0" borderId="11" xfId="0" applyFont="1" applyFill="1" applyBorder="1" applyAlignment="1">
      <alignment horizontal="center" vertical="center"/>
    </xf>
    <xf numFmtId="0" fontId="17" fillId="0" borderId="2" xfId="0" applyFont="1" applyFill="1" applyBorder="1" applyAlignment="1">
      <alignment horizontal="left" vertic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49" fontId="0" fillId="0" borderId="0" xfId="0" quotePrefix="1" applyNumberFormat="1" applyAlignment="1">
      <alignment horizontal="center" vertical="center"/>
    </xf>
    <xf numFmtId="0" fontId="70" fillId="0" borderId="3" xfId="0" applyFont="1" applyFill="1" applyBorder="1" applyAlignment="1">
      <alignment horizontal="center" vertical="center"/>
    </xf>
    <xf numFmtId="0" fontId="70" fillId="0" borderId="0" xfId="0" applyFont="1" applyFill="1" applyBorder="1" applyAlignment="1">
      <alignment horizontal="center" vertical="center"/>
    </xf>
    <xf numFmtId="0" fontId="70" fillId="0" borderId="8" xfId="0" applyFont="1" applyFill="1" applyBorder="1" applyAlignment="1">
      <alignment horizontal="center" vertical="center"/>
    </xf>
    <xf numFmtId="0" fontId="66" fillId="0" borderId="0" xfId="0" applyFont="1" applyAlignment="1">
      <alignment horizontal="center" vertical="center" wrapText="1"/>
    </xf>
    <xf numFmtId="0" fontId="35" fillId="0" borderId="0" xfId="0" applyFont="1" applyAlignment="1">
      <alignment horizontal="center" vertical="center" wrapText="1"/>
    </xf>
    <xf numFmtId="0" fontId="33" fillId="0" borderId="0" xfId="0" applyFont="1" applyAlignment="1">
      <alignment horizontal="center" vertical="center" wrapText="1"/>
    </xf>
    <xf numFmtId="0" fontId="38" fillId="0" borderId="0" xfId="0" applyFont="1" applyAlignment="1">
      <alignment horizontal="center" vertical="center" wrapText="1"/>
    </xf>
    <xf numFmtId="0" fontId="33" fillId="0" borderId="5" xfId="0" applyFont="1" applyFill="1" applyBorder="1" applyAlignment="1" applyProtection="1">
      <alignment horizontal="center" vertical="top" wrapText="1"/>
    </xf>
    <xf numFmtId="0" fontId="33" fillId="0" borderId="0" xfId="0" applyFont="1" applyFill="1" applyBorder="1" applyAlignment="1" applyProtection="1">
      <alignment horizontal="center" vertical="top" wrapText="1"/>
    </xf>
    <xf numFmtId="0" fontId="33" fillId="0" borderId="6" xfId="0" applyFont="1" applyFill="1" applyBorder="1" applyAlignment="1" applyProtection="1">
      <alignment horizontal="center" vertical="top" wrapText="1"/>
    </xf>
    <xf numFmtId="0" fontId="12" fillId="0" borderId="0" xfId="0" applyFont="1" applyAlignment="1" applyProtection="1">
      <alignment horizontal="center" vertical="center"/>
    </xf>
    <xf numFmtId="0" fontId="12" fillId="4" borderId="3" xfId="0" applyFont="1" applyFill="1" applyBorder="1" applyAlignment="1" applyProtection="1">
      <alignment horizontal="center" vertical="center"/>
      <protection locked="0"/>
    </xf>
    <xf numFmtId="0" fontId="12" fillId="4" borderId="4" xfId="0" applyFont="1" applyFill="1" applyBorder="1" applyAlignment="1" applyProtection="1">
      <alignment horizontal="center" vertical="center"/>
      <protection locked="0"/>
    </xf>
    <xf numFmtId="14" fontId="12" fillId="4" borderId="8" xfId="0" applyNumberFormat="1" applyFont="1" applyFill="1" applyBorder="1" applyAlignment="1" applyProtection="1">
      <alignment horizontal="center" vertical="center"/>
      <protection locked="0"/>
    </xf>
    <xf numFmtId="14" fontId="12" fillId="4" borderId="9" xfId="0" applyNumberFormat="1" applyFont="1" applyFill="1" applyBorder="1" applyAlignment="1" applyProtection="1">
      <alignment horizontal="center" vertical="center"/>
      <protection locked="0"/>
    </xf>
    <xf numFmtId="0" fontId="14" fillId="0" borderId="0" xfId="0" applyFont="1" applyBorder="1" applyAlignment="1" applyProtection="1">
      <alignment horizontal="left" vertical="top" wrapText="1"/>
    </xf>
    <xf numFmtId="0" fontId="14" fillId="0" borderId="0" xfId="0" applyFont="1" applyBorder="1" applyAlignment="1" applyProtection="1">
      <alignment horizontal="left" vertical="top"/>
    </xf>
    <xf numFmtId="0" fontId="12" fillId="4" borderId="11" xfId="0" applyFont="1" applyFill="1" applyBorder="1" applyAlignment="1" applyProtection="1">
      <alignment horizontal="center" vertical="center"/>
      <protection locked="0"/>
    </xf>
    <xf numFmtId="0" fontId="12" fillId="4" borderId="12" xfId="0" applyFont="1" applyFill="1" applyBorder="1" applyAlignment="1" applyProtection="1">
      <alignment horizontal="center" vertical="center"/>
      <protection locked="0"/>
    </xf>
    <xf numFmtId="0" fontId="12" fillId="4" borderId="8" xfId="0" applyFont="1" applyFill="1" applyBorder="1" applyAlignment="1" applyProtection="1">
      <alignment horizontal="center" vertical="center"/>
      <protection locked="0"/>
    </xf>
    <xf numFmtId="0" fontId="12" fillId="4" borderId="9" xfId="0" applyFont="1" applyFill="1" applyBorder="1" applyAlignment="1" applyProtection="1">
      <alignment horizontal="center" vertical="center"/>
      <protection locked="0"/>
    </xf>
    <xf numFmtId="0" fontId="0" fillId="0" borderId="0" xfId="0" applyFill="1" applyAlignment="1">
      <alignment horizontal="center" vertical="center"/>
    </xf>
    <xf numFmtId="0" fontId="0" fillId="0" borderId="14" xfId="0" applyFill="1" applyBorder="1" applyAlignment="1">
      <alignment horizontal="left"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Fill="1" applyBorder="1" applyAlignment="1">
      <alignment horizontal="center" vertical="center"/>
    </xf>
    <xf numFmtId="0" fontId="0" fillId="0" borderId="0" xfId="0" applyFill="1" applyAlignment="1">
      <alignment horizontal="center" vertical="top"/>
    </xf>
    <xf numFmtId="0" fontId="53" fillId="0" borderId="10" xfId="0" applyFont="1" applyFill="1" applyBorder="1" applyAlignment="1">
      <alignment horizontal="center"/>
    </xf>
    <xf numFmtId="0" fontId="53" fillId="0" borderId="11" xfId="0" applyFont="1" applyFill="1" applyBorder="1" applyAlignment="1">
      <alignment horizontal="center"/>
    </xf>
    <xf numFmtId="0" fontId="53" fillId="0" borderId="12" xfId="0" applyFont="1" applyFill="1" applyBorder="1" applyAlignment="1">
      <alignment horizontal="center"/>
    </xf>
    <xf numFmtId="0" fontId="35" fillId="0" borderId="10" xfId="0" applyFont="1" applyFill="1" applyBorder="1" applyAlignment="1">
      <alignment horizontal="center"/>
    </xf>
    <xf numFmtId="0" fontId="35" fillId="0" borderId="11" xfId="0" applyFont="1" applyFill="1" applyBorder="1" applyAlignment="1">
      <alignment horizontal="center"/>
    </xf>
    <xf numFmtId="164" fontId="2" fillId="0" borderId="31" xfId="0" applyNumberFormat="1" applyFont="1" applyFill="1" applyBorder="1" applyAlignment="1">
      <alignment horizontal="center" vertical="center"/>
    </xf>
    <xf numFmtId="164" fontId="2" fillId="0" borderId="32" xfId="0" applyNumberFormat="1" applyFont="1" applyFill="1" applyBorder="1" applyAlignment="1">
      <alignment horizontal="center" vertical="center"/>
    </xf>
    <xf numFmtId="0" fontId="8" fillId="0" borderId="17" xfId="0" applyFont="1" applyFill="1" applyBorder="1" applyAlignment="1">
      <alignment horizontal="right" vertical="center"/>
    </xf>
    <xf numFmtId="0" fontId="0" fillId="0" borderId="17" xfId="0" applyFill="1" applyBorder="1" applyAlignment="1">
      <alignment horizontal="right" vertical="center"/>
    </xf>
    <xf numFmtId="0" fontId="0" fillId="0" borderId="0" xfId="0" applyFill="1" applyAlignment="1">
      <alignment horizontal="center" wrapText="1"/>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17" fillId="0" borderId="2" xfId="0" applyFont="1" applyFill="1" applyBorder="1" applyAlignment="1">
      <alignment horizontal="left" vertical="center"/>
    </xf>
    <xf numFmtId="0" fontId="17" fillId="0" borderId="3" xfId="0" applyFont="1" applyFill="1" applyBorder="1" applyAlignment="1">
      <alignment horizontal="left" vertical="center"/>
    </xf>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7" fillId="0" borderId="10" xfId="0" applyFont="1" applyFill="1" applyBorder="1" applyAlignment="1">
      <alignment horizontal="left" vertical="center"/>
    </xf>
    <xf numFmtId="0" fontId="17" fillId="0" borderId="11" xfId="0" applyFont="1" applyFill="1" applyBorder="1" applyAlignment="1">
      <alignment horizontal="left" vertical="center"/>
    </xf>
    <xf numFmtId="0" fontId="14" fillId="0" borderId="3"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2"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9" xfId="0" applyFont="1" applyFill="1" applyBorder="1" applyAlignment="1">
      <alignment horizontal="center" vertical="center"/>
    </xf>
    <xf numFmtId="0" fontId="8" fillId="0" borderId="0" xfId="0" applyFont="1" applyFill="1" applyBorder="1" applyAlignment="1">
      <alignment horizontal="right" vertical="center"/>
    </xf>
    <xf numFmtId="0" fontId="0" fillId="0" borderId="0" xfId="0" applyFill="1" applyBorder="1" applyAlignment="1">
      <alignment horizontal="left" vertical="center"/>
    </xf>
    <xf numFmtId="0" fontId="0" fillId="0" borderId="1" xfId="0" applyBorder="1" applyAlignment="1">
      <alignment horizontal="center"/>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0" fillId="0" borderId="8" xfId="0" applyBorder="1" applyAlignment="1">
      <alignment horizontal="center"/>
    </xf>
    <xf numFmtId="0" fontId="12" fillId="10" borderId="13" xfId="0" applyFont="1" applyFill="1" applyBorder="1" applyAlignment="1">
      <alignment horizontal="center" vertical="center"/>
    </xf>
    <xf numFmtId="0" fontId="12" fillId="10" borderId="15" xfId="0" applyFont="1" applyFill="1" applyBorder="1" applyAlignment="1">
      <alignment horizontal="center" vertical="center"/>
    </xf>
    <xf numFmtId="0" fontId="12" fillId="10" borderId="16" xfId="0" applyFont="1" applyFill="1" applyBorder="1" applyAlignment="1">
      <alignment horizontal="center" vertical="center"/>
    </xf>
    <xf numFmtId="0" fontId="12" fillId="10" borderId="37" xfId="0" applyFont="1" applyFill="1" applyBorder="1" applyAlignment="1">
      <alignment horizontal="center" vertical="center"/>
    </xf>
    <xf numFmtId="0" fontId="12" fillId="10" borderId="38" xfId="0" applyFont="1" applyFill="1" applyBorder="1" applyAlignment="1">
      <alignment horizontal="center" vertical="center"/>
    </xf>
    <xf numFmtId="0" fontId="12" fillId="10" borderId="39" xfId="0" applyFont="1" applyFill="1" applyBorder="1" applyAlignment="1">
      <alignment horizontal="center" vertical="center"/>
    </xf>
    <xf numFmtId="0" fontId="12" fillId="10" borderId="13" xfId="0" applyFont="1" applyFill="1" applyBorder="1" applyAlignment="1">
      <alignment horizontal="center" vertical="center" wrapText="1"/>
    </xf>
    <xf numFmtId="0" fontId="12" fillId="10" borderId="16" xfId="0" applyFont="1" applyFill="1" applyBorder="1" applyAlignment="1">
      <alignment horizontal="center" vertical="center" wrapText="1"/>
    </xf>
    <xf numFmtId="0" fontId="31" fillId="10" borderId="35" xfId="0" applyFont="1" applyFill="1" applyBorder="1" applyAlignment="1">
      <alignment horizontal="center" vertical="center"/>
    </xf>
    <xf numFmtId="0" fontId="31" fillId="10" borderId="19" xfId="0" applyFont="1" applyFill="1" applyBorder="1" applyAlignment="1">
      <alignment horizontal="center" vertical="center"/>
    </xf>
    <xf numFmtId="0" fontId="31" fillId="10" borderId="36" xfId="0" applyFont="1" applyFill="1" applyBorder="1" applyAlignment="1">
      <alignment horizontal="center" vertical="center"/>
    </xf>
    <xf numFmtId="0" fontId="12" fillId="18" borderId="13" xfId="0" applyFont="1" applyFill="1" applyBorder="1" applyAlignment="1">
      <alignment horizontal="center" vertical="center"/>
    </xf>
    <xf numFmtId="0" fontId="12" fillId="18" borderId="15" xfId="0" applyFont="1" applyFill="1" applyBorder="1" applyAlignment="1">
      <alignment horizontal="center" vertical="center"/>
    </xf>
    <xf numFmtId="0" fontId="12" fillId="18" borderId="16" xfId="0" applyFont="1" applyFill="1" applyBorder="1" applyAlignment="1">
      <alignment horizontal="center" vertical="center"/>
    </xf>
    <xf numFmtId="0" fontId="12" fillId="0" borderId="2" xfId="0" applyFont="1" applyBorder="1" applyAlignment="1">
      <alignment horizontal="right"/>
    </xf>
    <xf numFmtId="0" fontId="12" fillId="0" borderId="3" xfId="0" applyFont="1" applyBorder="1" applyAlignment="1">
      <alignment horizontal="right"/>
    </xf>
    <xf numFmtId="0" fontId="2" fillId="0" borderId="8" xfId="0" applyFont="1" applyBorder="1" applyAlignment="1">
      <alignment horizontal="center"/>
    </xf>
    <xf numFmtId="0" fontId="2" fillId="0" borderId="0" xfId="0" applyFont="1" applyAlignment="1">
      <alignment horizontal="center"/>
    </xf>
    <xf numFmtId="0" fontId="17" fillId="0" borderId="8" xfId="0" applyFont="1" applyBorder="1" applyAlignment="1">
      <alignment horizontal="center"/>
    </xf>
    <xf numFmtId="0" fontId="8" fillId="0" borderId="5" xfId="0" applyFont="1" applyBorder="1" applyAlignment="1">
      <alignment horizontal="right" vertical="center"/>
    </xf>
    <xf numFmtId="0" fontId="8" fillId="0" borderId="0" xfId="0" applyFont="1" applyBorder="1" applyAlignment="1">
      <alignment horizontal="right" vertical="center"/>
    </xf>
    <xf numFmtId="0" fontId="0" fillId="0" borderId="7" xfId="0" applyBorder="1" applyAlignment="1">
      <alignment horizontal="right" vertical="center"/>
    </xf>
    <xf numFmtId="0" fontId="0" fillId="0" borderId="8" xfId="0" applyBorder="1" applyAlignment="1">
      <alignment horizontal="right" vertical="center"/>
    </xf>
    <xf numFmtId="0" fontId="0" fillId="0" borderId="5" xfId="0" applyBorder="1" applyAlignment="1">
      <alignment horizontal="right"/>
    </xf>
    <xf numFmtId="0" fontId="0" fillId="0" borderId="0" xfId="0" applyBorder="1" applyAlignment="1">
      <alignment horizontal="right"/>
    </xf>
    <xf numFmtId="0" fontId="0" fillId="0" borderId="2" xfId="0" applyBorder="1" applyAlignment="1">
      <alignment horizontal="right"/>
    </xf>
    <xf numFmtId="0" fontId="0" fillId="0" borderId="3" xfId="0" applyBorder="1" applyAlignment="1">
      <alignment horizontal="right"/>
    </xf>
    <xf numFmtId="0" fontId="12" fillId="0" borderId="7" xfId="0" applyFont="1" applyBorder="1" applyAlignment="1">
      <alignment horizontal="right"/>
    </xf>
    <xf numFmtId="0" fontId="12" fillId="0" borderId="8" xfId="0" applyFont="1" applyBorder="1" applyAlignment="1">
      <alignment horizontal="right"/>
    </xf>
    <xf numFmtId="0" fontId="2" fillId="0" borderId="0" xfId="0" applyFont="1" applyBorder="1" applyAlignment="1">
      <alignment horizontal="center"/>
    </xf>
    <xf numFmtId="0" fontId="19" fillId="0" borderId="18" xfId="0" applyFont="1" applyBorder="1" applyAlignment="1">
      <alignment horizontal="center" vertical="center" wrapText="1"/>
    </xf>
    <xf numFmtId="0" fontId="19" fillId="0" borderId="19" xfId="0" applyFont="1" applyFill="1" applyBorder="1" applyAlignment="1">
      <alignment horizontal="left" vertical="center" wrapText="1"/>
    </xf>
    <xf numFmtId="3" fontId="8" fillId="0" borderId="8"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wrapText="1"/>
    </xf>
    <xf numFmtId="0" fontId="2" fillId="0" borderId="8" xfId="0" applyFont="1" applyBorder="1" applyAlignment="1">
      <alignment horizontal="center" wrapText="1"/>
    </xf>
    <xf numFmtId="0" fontId="8" fillId="0" borderId="3" xfId="0" applyFont="1" applyBorder="1" applyAlignment="1">
      <alignment horizontal="center" vertical="center" wrapText="1"/>
    </xf>
    <xf numFmtId="0" fontId="8" fillId="0" borderId="0"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0" xfId="0" applyFont="1" applyBorder="1" applyAlignment="1">
      <alignment horizontal="center" vertical="center" wrapText="1"/>
    </xf>
    <xf numFmtId="0" fontId="12" fillId="0" borderId="10" xfId="0" applyFont="1" applyFill="1" applyBorder="1" applyAlignment="1">
      <alignment horizontal="center"/>
    </xf>
    <xf numFmtId="0" fontId="12" fillId="0" borderId="11" xfId="0" applyFont="1" applyFill="1" applyBorder="1" applyAlignment="1">
      <alignment horizontal="center"/>
    </xf>
    <xf numFmtId="0" fontId="12" fillId="0" borderId="3" xfId="0" applyFont="1" applyBorder="1" applyAlignment="1">
      <alignment horizontal="center" wrapText="1"/>
    </xf>
    <xf numFmtId="0" fontId="12" fillId="0" borderId="8" xfId="0" applyFont="1" applyBorder="1" applyAlignment="1">
      <alignment horizontal="center" wrapText="1"/>
    </xf>
    <xf numFmtId="0" fontId="12" fillId="0" borderId="12" xfId="0" applyFont="1" applyFill="1" applyBorder="1" applyAlignment="1">
      <alignment horizontal="center"/>
    </xf>
  </cellXfs>
  <cellStyles count="2">
    <cellStyle name="Normal" xfId="0" builtinId="0"/>
    <cellStyle name="Normal 2" xfId="1" xr:uid="{00000000-0005-0000-0000-000001000000}"/>
  </cellStyles>
  <dxfs count="14">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font>
    </dxf>
    <dxf>
      <font>
        <color theme="0" tint="-0.14996795556505021"/>
      </font>
    </dxf>
    <dxf>
      <font>
        <color theme="0" tint="-0.34998626667073579"/>
      </font>
    </dxf>
    <dxf>
      <font>
        <color theme="0" tint="-0.34998626667073579"/>
      </font>
    </dxf>
    <dxf>
      <font>
        <color theme="0" tint="-0.34998626667073579"/>
      </font>
    </dxf>
    <dxf>
      <font>
        <color theme="0" tint="-0.34998626667073579"/>
      </font>
    </dxf>
    <dxf>
      <font>
        <color theme="0" tint="-0.34998626667073579"/>
      </font>
    </dxf>
    <dxf>
      <fill>
        <patternFill patternType="darkUp"/>
      </fill>
    </dxf>
  </dxfs>
  <tableStyles count="0" defaultTableStyle="TableStyleMedium2" defaultPivotStyle="PivotStyleLight16"/>
  <colors>
    <mruColors>
      <color rgb="FFE9D7FD"/>
      <color rgb="FFE1C8FC"/>
      <color rgb="FFFFCDCD"/>
      <color rgb="FFCFA7FB"/>
      <color rgb="FFCCCCFF"/>
      <color rgb="FFFFCC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8.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9.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11.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89618970042537"/>
          <c:y val="0.13161002700749364"/>
          <c:w val="0.75742547342490096"/>
          <c:h val="0.67964365323899734"/>
        </c:manualLayout>
      </c:layout>
      <c:scatterChart>
        <c:scatterStyle val="lineMarker"/>
        <c:varyColors val="0"/>
        <c:ser>
          <c:idx val="0"/>
          <c:order val="0"/>
          <c:tx>
            <c:v>PL(I&amp;B)</c:v>
          </c:tx>
          <c:spPr>
            <a:ln w="19050" cap="rnd">
              <a:noFill/>
              <a:round/>
            </a:ln>
            <a:effectLst/>
          </c:spPr>
          <c:marker>
            <c:symbol val="square"/>
            <c:size val="6"/>
            <c:spPr>
              <a:solidFill>
                <a:schemeClr val="bg1"/>
              </a:solidFill>
              <a:ln w="9525">
                <a:solidFill>
                  <a:schemeClr val="tx1"/>
                </a:solidFill>
              </a:ln>
              <a:effectLst/>
            </c:spPr>
          </c:marker>
          <c:xVal>
            <c:numRef>
              <c:f>'Final Summary'!$Y$26:$Y$45</c:f>
              <c:numCache>
                <c:formatCode>0.000</c:formatCode>
                <c:ptCount val="20"/>
                <c:pt idx="0">
                  <c:v>1.8540697745700523</c:v>
                </c:pt>
                <c:pt idx="1">
                  <c:v>0.15109424382340919</c:v>
                </c:pt>
                <c:pt idx="2">
                  <c:v>0.16405473453769903</c:v>
                </c:pt>
                <c:pt idx="3">
                  <c:v>#N/A</c:v>
                </c:pt>
                <c:pt idx="4">
                  <c:v>0.27664601158220065</c:v>
                </c:pt>
                <c:pt idx="5">
                  <c:v>0.58107357361902523</c:v>
                </c:pt>
                <c:pt idx="6">
                  <c:v>0.27162753281988083</c:v>
                </c:pt>
                <c:pt idx="7">
                  <c:v>0.12990392170651952</c:v>
                </c:pt>
                <c:pt idx="8">
                  <c:v>#N/A</c:v>
                </c:pt>
                <c:pt idx="9">
                  <c:v>8.0170301250297227E-2</c:v>
                </c:pt>
                <c:pt idx="10">
                  <c:v>0.14315320799813824</c:v>
                </c:pt>
                <c:pt idx="11">
                  <c:v>9.1164811049488759E-2</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D41-4A8A-B054-0DD37E37F12B}"/>
            </c:ext>
          </c:extLst>
        </c:ser>
        <c:ser>
          <c:idx val="1"/>
          <c:order val="1"/>
          <c:tx>
            <c:v>PL(Cet)</c:v>
          </c:tx>
          <c:spPr>
            <a:ln w="19050" cap="rnd">
              <a:noFill/>
              <a:round/>
            </a:ln>
            <a:effectLst/>
          </c:spPr>
          <c:marker>
            <c:symbol val="triangle"/>
            <c:size val="6"/>
            <c:spPr>
              <a:solidFill>
                <a:schemeClr val="bg1"/>
              </a:solidFill>
              <a:ln w="9525">
                <a:solidFill>
                  <a:schemeClr val="tx1"/>
                </a:solidFill>
              </a:ln>
              <a:effectLst/>
            </c:spPr>
          </c:marker>
          <c:xVal>
            <c:numRef>
              <c:f>'Final Summary'!$AD$26:$AD$45</c:f>
              <c:numCache>
                <c:formatCode>0.000</c:formatCode>
                <c:ptCount val="20"/>
                <c:pt idx="0">
                  <c:v>1.6810605542142403</c:v>
                </c:pt>
                <c:pt idx="1">
                  <c:v>0.23835012409072004</c:v>
                </c:pt>
                <c:pt idx="2">
                  <c:v>0.24332620501597385</c:v>
                </c:pt>
                <c:pt idx="3">
                  <c:v>#N/A</c:v>
                </c:pt>
                <c:pt idx="4">
                  <c:v>0.38967633874842733</c:v>
                </c:pt>
                <c:pt idx="5">
                  <c:v>0.6676171516200663</c:v>
                </c:pt>
                <c:pt idx="6">
                  <c:v>0.32012983712466553</c:v>
                </c:pt>
                <c:pt idx="7">
                  <c:v>0.13208123927108129</c:v>
                </c:pt>
                <c:pt idx="8">
                  <c:v>#N/A</c:v>
                </c:pt>
                <c:pt idx="9">
                  <c:v>7.5273734828321059E-2</c:v>
                </c:pt>
                <c:pt idx="10">
                  <c:v>0.13392474304154969</c:v>
                </c:pt>
                <c:pt idx="11">
                  <c:v>7.7504626482994235E-2</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5D41-4A8A-B054-0DD37E37F12B}"/>
            </c:ext>
          </c:extLst>
        </c:ser>
        <c:ser>
          <c:idx val="2"/>
          <c:order val="2"/>
          <c:tx>
            <c:v>PL = 50%</c:v>
          </c:tx>
          <c:spPr>
            <a:ln w="9525" cap="rnd">
              <a:solidFill>
                <a:schemeClr val="tx1"/>
              </a:solidFill>
              <a:prstDash val="sysDot"/>
              <a:round/>
            </a:ln>
            <a:effectLst/>
          </c:spPr>
          <c:marker>
            <c:symbol val="none"/>
          </c:marker>
          <c:xVal>
            <c:numRef>
              <c:f>_Hidden!$T$6:$T$7</c:f>
              <c:numCache>
                <c:formatCode>General</c:formatCode>
                <c:ptCount val="2"/>
                <c:pt idx="0">
                  <c:v>0.5</c:v>
                </c:pt>
                <c:pt idx="1">
                  <c:v>0.5</c:v>
                </c:pt>
              </c:numCache>
            </c:numRef>
          </c:xVal>
          <c:yVal>
            <c:numRef>
              <c:f>_Hidden!$S$6:$S$7</c:f>
              <c:numCache>
                <c:formatCode>0.00</c:formatCode>
                <c:ptCount val="2"/>
                <c:pt idx="0" formatCode="General">
                  <c:v>0</c:v>
                </c:pt>
                <c:pt idx="1">
                  <c:v>64</c:v>
                </c:pt>
              </c:numCache>
            </c:numRef>
          </c:yVal>
          <c:smooth val="0"/>
          <c:extLst>
            <c:ext xmlns:c16="http://schemas.microsoft.com/office/drawing/2014/chart" uri="{C3380CC4-5D6E-409C-BE32-E72D297353CC}">
              <c16:uniqueId val="{00000002-5D41-4A8A-B054-0DD37E37F12B}"/>
            </c:ext>
          </c:extLst>
        </c:ser>
        <c:dLbls>
          <c:showLegendKey val="0"/>
          <c:showVal val="0"/>
          <c:showCatName val="0"/>
          <c:showSerName val="0"/>
          <c:showPercent val="0"/>
          <c:showBubbleSize val="0"/>
        </c:dLbls>
        <c:axId val="264693632"/>
        <c:axId val="264577024"/>
      </c:scatterChart>
      <c:valAx>
        <c:axId val="264693632"/>
        <c:scaling>
          <c:orientation val="minMax"/>
          <c:max val="1"/>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i="1"/>
                  <a:t>P</a:t>
                </a:r>
                <a:r>
                  <a:rPr lang="en-US" i="1" baseline="-25000"/>
                  <a:t>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General"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577024"/>
        <c:crosses val="autoZero"/>
        <c:crossBetween val="midCat"/>
        <c:majorUnit val="0.25"/>
      </c:valAx>
      <c:valAx>
        <c:axId val="264577024"/>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4693632"/>
        <c:crosses val="autoZero"/>
        <c:crossBetween val="midCat"/>
      </c:valAx>
      <c:spPr>
        <a:noFill/>
        <a:ln>
          <a:noFill/>
        </a:ln>
        <a:effectLst/>
      </c:spPr>
    </c:plotArea>
    <c:legend>
      <c:legendPos val="b"/>
      <c:layout>
        <c:manualLayout>
          <c:xMode val="edge"/>
          <c:yMode val="edge"/>
          <c:x val="0.18498883291762444"/>
          <c:y val="0.85276883867777398"/>
          <c:w val="0.66314797606820874"/>
          <c:h val="0.124042755525124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89618970042537"/>
          <c:y val="0.13933949560652747"/>
          <c:w val="0.75742547342490096"/>
          <c:h val="0.66031998174141271"/>
        </c:manualLayout>
      </c:layout>
      <c:scatterChart>
        <c:scatterStyle val="lineMarker"/>
        <c:varyColors val="0"/>
        <c:ser>
          <c:idx val="0"/>
          <c:order val="0"/>
          <c:tx>
            <c:v>PL(I&amp;B)</c:v>
          </c:tx>
          <c:spPr>
            <a:ln w="12700" cap="rnd">
              <a:noFill/>
              <a:round/>
            </a:ln>
            <a:effectLst/>
          </c:spPr>
          <c:marker>
            <c:symbol val="square"/>
            <c:size val="6"/>
            <c:spPr>
              <a:noFill/>
              <a:ln w="9525">
                <a:solidFill>
                  <a:schemeClr val="tx1"/>
                </a:solidFill>
              </a:ln>
              <a:effectLst/>
            </c:spPr>
          </c:marker>
          <c:xVal>
            <c:numRef>
              <c:f>'Final Summary'!$N$26:$N$45</c:f>
              <c:numCache>
                <c:formatCode>0.000</c:formatCode>
                <c:ptCount val="20"/>
                <c:pt idx="0">
                  <c:v>4.531038012233954</c:v>
                </c:pt>
                <c:pt idx="1">
                  <c:v>0.36628433612858424</c:v>
                </c:pt>
                <c:pt idx="2">
                  <c:v>0.39800901685415463</c:v>
                </c:pt>
                <c:pt idx="3">
                  <c:v>#N/A</c:v>
                </c:pt>
                <c:pt idx="4">
                  <c:v>0.67349663088987843</c:v>
                </c:pt>
                <c:pt idx="5">
                  <c:v>1.4196896207753118</c:v>
                </c:pt>
                <c:pt idx="6">
                  <c:v>0.66174912583443657</c:v>
                </c:pt>
                <c:pt idx="7">
                  <c:v>0.31547101888912921</c:v>
                </c:pt>
                <c:pt idx="8">
                  <c:v>#N/A</c:v>
                </c:pt>
                <c:pt idx="9">
                  <c:v>0.19468062364165611</c:v>
                </c:pt>
                <c:pt idx="10">
                  <c:v>0.34818708198556969</c:v>
                </c:pt>
                <c:pt idx="11">
                  <c:v>0.22163239568277454</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34A3-46C9-A64E-E946F58B890B}"/>
            </c:ext>
          </c:extLst>
        </c:ser>
        <c:ser>
          <c:idx val="1"/>
          <c:order val="1"/>
          <c:tx>
            <c:v>PL(Cet)</c:v>
          </c:tx>
          <c:spPr>
            <a:ln w="25400" cap="rnd">
              <a:noFill/>
              <a:round/>
            </a:ln>
            <a:effectLst/>
          </c:spPr>
          <c:marker>
            <c:symbol val="triangle"/>
            <c:size val="6"/>
            <c:spPr>
              <a:noFill/>
              <a:ln w="9525">
                <a:solidFill>
                  <a:schemeClr val="tx1"/>
                </a:solidFill>
              </a:ln>
              <a:effectLst/>
            </c:spPr>
          </c:marker>
          <c:xVal>
            <c:numRef>
              <c:f>'Final Summary'!$S$26:$S$45</c:f>
              <c:numCache>
                <c:formatCode>0.000</c:formatCode>
                <c:ptCount val="20"/>
                <c:pt idx="0">
                  <c:v>0.5067739356819696</c:v>
                </c:pt>
                <c:pt idx="1">
                  <c:v>7.2376967184628785E-2</c:v>
                </c:pt>
                <c:pt idx="2">
                  <c:v>7.5012592581681872E-2</c:v>
                </c:pt>
                <c:pt idx="3">
                  <c:v>#N/A</c:v>
                </c:pt>
                <c:pt idx="4">
                  <c:v>0.12789971804790864</c:v>
                </c:pt>
                <c:pt idx="5">
                  <c:v>0.23106955639281196</c:v>
                </c:pt>
                <c:pt idx="6">
                  <c:v>0.11845791274525296</c:v>
                </c:pt>
                <c:pt idx="7">
                  <c:v>5.2632258672442339E-2</c:v>
                </c:pt>
                <c:pt idx="8">
                  <c:v>#N/A</c:v>
                </c:pt>
                <c:pt idx="9">
                  <c:v>3.399931176180504E-2</c:v>
                </c:pt>
                <c:pt idx="10">
                  <c:v>6.3839566880304122E-2</c:v>
                </c:pt>
                <c:pt idx="11">
                  <c:v>3.783207723839474E-2</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34A3-46C9-A64E-E946F58B890B}"/>
            </c:ext>
          </c:extLst>
        </c:ser>
        <c:ser>
          <c:idx val="2"/>
          <c:order val="2"/>
          <c:tx>
            <c:v>PL = 50%</c:v>
          </c:tx>
          <c:spPr>
            <a:ln w="9525" cap="rnd">
              <a:solidFill>
                <a:schemeClr val="tx1"/>
              </a:solidFill>
              <a:prstDash val="sysDot"/>
              <a:round/>
            </a:ln>
            <a:effectLst/>
          </c:spPr>
          <c:marker>
            <c:symbol val="none"/>
          </c:marker>
          <c:xVal>
            <c:numRef>
              <c:f>_Hidden!$T$6:$T$7</c:f>
              <c:numCache>
                <c:formatCode>General</c:formatCode>
                <c:ptCount val="2"/>
                <c:pt idx="0">
                  <c:v>0.5</c:v>
                </c:pt>
                <c:pt idx="1">
                  <c:v>0.5</c:v>
                </c:pt>
              </c:numCache>
            </c:numRef>
          </c:xVal>
          <c:yVal>
            <c:numRef>
              <c:f>_Hidden!$S$6:$S$7</c:f>
              <c:numCache>
                <c:formatCode>0.00</c:formatCode>
                <c:ptCount val="2"/>
                <c:pt idx="0" formatCode="General">
                  <c:v>0</c:v>
                </c:pt>
                <c:pt idx="1">
                  <c:v>64</c:v>
                </c:pt>
              </c:numCache>
            </c:numRef>
          </c:yVal>
          <c:smooth val="0"/>
          <c:extLst>
            <c:ext xmlns:c16="http://schemas.microsoft.com/office/drawing/2014/chart" uri="{C3380CC4-5D6E-409C-BE32-E72D297353CC}">
              <c16:uniqueId val="{00000002-34A3-46C9-A64E-E946F58B890B}"/>
            </c:ext>
          </c:extLst>
        </c:ser>
        <c:dLbls>
          <c:showLegendKey val="0"/>
          <c:showVal val="0"/>
          <c:showCatName val="0"/>
          <c:showSerName val="0"/>
          <c:showPercent val="0"/>
          <c:showBubbleSize val="0"/>
        </c:dLbls>
        <c:axId val="264612096"/>
        <c:axId val="264614272"/>
      </c:scatterChart>
      <c:valAx>
        <c:axId val="264612096"/>
        <c:scaling>
          <c:orientation val="minMax"/>
          <c:max val="1"/>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i="1"/>
                  <a:t>P</a:t>
                </a:r>
                <a:r>
                  <a:rPr lang="en-US" i="1" baseline="-25000"/>
                  <a:t>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General"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614272"/>
        <c:crosses val="autoZero"/>
        <c:crossBetween val="midCat"/>
        <c:majorUnit val="0.25"/>
      </c:valAx>
      <c:valAx>
        <c:axId val="264614272"/>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4612096"/>
        <c:crosses val="autoZero"/>
        <c:crossBetween val="midCat"/>
      </c:valAx>
      <c:spPr>
        <a:noFill/>
        <a:ln>
          <a:noFill/>
        </a:ln>
        <a:effectLst/>
      </c:spPr>
    </c:plotArea>
    <c:legend>
      <c:legendPos val="b"/>
      <c:layout>
        <c:manualLayout>
          <c:xMode val="edge"/>
          <c:yMode val="edge"/>
          <c:x val="0.17986403873428866"/>
          <c:y val="0.84593099775571534"/>
          <c:w val="0.62370877553349313"/>
          <c:h val="0.1231511278481494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89618970042537"/>
          <c:y val="0.13157838346505718"/>
          <c:w val="0.75742547342490096"/>
          <c:h val="0.66421666856860284"/>
        </c:manualLayout>
      </c:layout>
      <c:scatterChart>
        <c:scatterStyle val="lineMarker"/>
        <c:varyColors val="0"/>
        <c:ser>
          <c:idx val="0"/>
          <c:order val="0"/>
          <c:tx>
            <c:v>FSL(I&amp;B)</c:v>
          </c:tx>
          <c:spPr>
            <a:ln w="19050" cap="rnd">
              <a:noFill/>
              <a:round/>
            </a:ln>
            <a:effectLst/>
          </c:spPr>
          <c:marker>
            <c:symbol val="square"/>
            <c:size val="5"/>
            <c:spPr>
              <a:solidFill>
                <a:schemeClr val="bg1"/>
              </a:solidFill>
              <a:ln w="9525">
                <a:solidFill>
                  <a:schemeClr val="tx1"/>
                </a:solidFill>
              </a:ln>
              <a:effectLst/>
            </c:spPr>
          </c:marker>
          <c:dPt>
            <c:idx val="4"/>
            <c:marker>
              <c:symbol val="square"/>
              <c:size val="6"/>
            </c:marker>
            <c:bubble3D val="0"/>
            <c:extLst>
              <c:ext xmlns:c16="http://schemas.microsoft.com/office/drawing/2014/chart" uri="{C3380CC4-5D6E-409C-BE32-E72D297353CC}">
                <c16:uniqueId val="{00000000-1445-4770-A32C-A759AA038A36}"/>
              </c:ext>
            </c:extLst>
          </c:dPt>
          <c:xVal>
            <c:numRef>
              <c:f>'Final Summary'!$Y$26:$Y$45</c:f>
              <c:numCache>
                <c:formatCode>0.000</c:formatCode>
                <c:ptCount val="20"/>
                <c:pt idx="0">
                  <c:v>1.8540697745700523</c:v>
                </c:pt>
                <c:pt idx="1">
                  <c:v>0.15109424382340919</c:v>
                </c:pt>
                <c:pt idx="2">
                  <c:v>0.16405473453769903</c:v>
                </c:pt>
                <c:pt idx="3">
                  <c:v>#N/A</c:v>
                </c:pt>
                <c:pt idx="4">
                  <c:v>0.27664601158220065</c:v>
                </c:pt>
                <c:pt idx="5">
                  <c:v>0.58107357361902523</c:v>
                </c:pt>
                <c:pt idx="6">
                  <c:v>0.27162753281988083</c:v>
                </c:pt>
                <c:pt idx="7">
                  <c:v>0.12990392170651952</c:v>
                </c:pt>
                <c:pt idx="8">
                  <c:v>#N/A</c:v>
                </c:pt>
                <c:pt idx="9">
                  <c:v>8.0170301250297227E-2</c:v>
                </c:pt>
                <c:pt idx="10">
                  <c:v>0.14315320799813824</c:v>
                </c:pt>
                <c:pt idx="11">
                  <c:v>9.1164811049488759E-2</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1445-4770-A32C-A759AA038A36}"/>
            </c:ext>
          </c:extLst>
        </c:ser>
        <c:ser>
          <c:idx val="1"/>
          <c:order val="1"/>
          <c:tx>
            <c:v>FSL(Cet)</c:v>
          </c:tx>
          <c:spPr>
            <a:ln w="19050" cap="rnd">
              <a:noFill/>
              <a:round/>
            </a:ln>
            <a:effectLst/>
          </c:spPr>
          <c:marker>
            <c:symbol val="triangle"/>
            <c:size val="6"/>
            <c:spPr>
              <a:solidFill>
                <a:schemeClr val="bg1"/>
              </a:solidFill>
              <a:ln w="9525">
                <a:solidFill>
                  <a:schemeClr val="tx1"/>
                </a:solidFill>
              </a:ln>
              <a:effectLst/>
            </c:spPr>
          </c:marker>
          <c:xVal>
            <c:numRef>
              <c:f>'Final Summary'!$AD$26:$AD$45</c:f>
              <c:numCache>
                <c:formatCode>0.000</c:formatCode>
                <c:ptCount val="20"/>
                <c:pt idx="0">
                  <c:v>1.6810605542142403</c:v>
                </c:pt>
                <c:pt idx="1">
                  <c:v>0.23835012409072004</c:v>
                </c:pt>
                <c:pt idx="2">
                  <c:v>0.24332620501597385</c:v>
                </c:pt>
                <c:pt idx="3">
                  <c:v>#N/A</c:v>
                </c:pt>
                <c:pt idx="4">
                  <c:v>0.38967633874842733</c:v>
                </c:pt>
                <c:pt idx="5">
                  <c:v>0.6676171516200663</c:v>
                </c:pt>
                <c:pt idx="6">
                  <c:v>0.32012983712466553</c:v>
                </c:pt>
                <c:pt idx="7">
                  <c:v>0.13208123927108129</c:v>
                </c:pt>
                <c:pt idx="8">
                  <c:v>#N/A</c:v>
                </c:pt>
                <c:pt idx="9">
                  <c:v>7.5273734828321059E-2</c:v>
                </c:pt>
                <c:pt idx="10">
                  <c:v>0.13392474304154969</c:v>
                </c:pt>
                <c:pt idx="11">
                  <c:v>7.7504626482994235E-2</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2-1445-4770-A32C-A759AA038A36}"/>
            </c:ext>
          </c:extLst>
        </c:ser>
        <c:ser>
          <c:idx val="2"/>
          <c:order val="2"/>
          <c:tx>
            <c:v>FSL = 1</c:v>
          </c:tx>
          <c:spPr>
            <a:ln w="9525" cap="rnd">
              <a:solidFill>
                <a:schemeClr val="tx1"/>
              </a:solidFill>
              <a:prstDash val="sysDot"/>
              <a:round/>
            </a:ln>
            <a:effectLst/>
          </c:spPr>
          <c:marker>
            <c:symbol val="none"/>
          </c:marker>
          <c:xVal>
            <c:numRef>
              <c:f>_Hidden!$T$12:$T$13</c:f>
              <c:numCache>
                <c:formatCode>General</c:formatCode>
                <c:ptCount val="2"/>
                <c:pt idx="0">
                  <c:v>1</c:v>
                </c:pt>
                <c:pt idx="1">
                  <c:v>1</c:v>
                </c:pt>
              </c:numCache>
            </c:numRef>
          </c:xVal>
          <c:yVal>
            <c:numRef>
              <c:f>_Hidden!$S$12:$S$13</c:f>
              <c:numCache>
                <c:formatCode>0.00</c:formatCode>
                <c:ptCount val="2"/>
                <c:pt idx="0" formatCode="General">
                  <c:v>0</c:v>
                </c:pt>
                <c:pt idx="1">
                  <c:v>59</c:v>
                </c:pt>
              </c:numCache>
            </c:numRef>
          </c:yVal>
          <c:smooth val="0"/>
          <c:extLst>
            <c:ext xmlns:c16="http://schemas.microsoft.com/office/drawing/2014/chart" uri="{C3380CC4-5D6E-409C-BE32-E72D297353CC}">
              <c16:uniqueId val="{00000003-1445-4770-A32C-A759AA038A36}"/>
            </c:ext>
          </c:extLst>
        </c:ser>
        <c:dLbls>
          <c:showLegendKey val="0"/>
          <c:showVal val="0"/>
          <c:showCatName val="0"/>
          <c:showSerName val="0"/>
          <c:showPercent val="0"/>
          <c:showBubbleSize val="0"/>
        </c:dLbls>
        <c:axId val="265063424"/>
        <c:axId val="265065600"/>
      </c:scatterChart>
      <c:valAx>
        <c:axId val="265063424"/>
        <c:scaling>
          <c:orientation val="minMax"/>
          <c:max val="3"/>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sz="1000" b="0" i="1" baseline="0">
                    <a:effectLst/>
                  </a:rPr>
                  <a:t>FS</a:t>
                </a:r>
                <a:r>
                  <a:rPr lang="en-US" sz="1000" b="0" i="1" baseline="-25000">
                    <a:effectLst/>
                  </a:rPr>
                  <a:t>L</a:t>
                </a:r>
                <a:endParaRPr lang="en-US" sz="400" i="1">
                  <a:effectLst/>
                </a:endParaRPr>
              </a:p>
            </c:rich>
          </c:tx>
          <c:overlay val="0"/>
          <c:spPr>
            <a:noFill/>
            <a:ln>
              <a:noFill/>
            </a:ln>
            <a:effectLst/>
          </c:sp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5065600"/>
        <c:crosses val="autoZero"/>
        <c:crossBetween val="midCat"/>
        <c:majorUnit val="1"/>
      </c:valAx>
      <c:valAx>
        <c:axId val="265065600"/>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5063424"/>
        <c:crosses val="autoZero"/>
        <c:crossBetween val="midCat"/>
      </c:valAx>
      <c:spPr>
        <a:noFill/>
        <a:ln>
          <a:noFill/>
        </a:ln>
        <a:effectLst/>
      </c:spPr>
    </c:plotArea>
    <c:legend>
      <c:legendPos val="b"/>
      <c:layout>
        <c:manualLayout>
          <c:xMode val="edge"/>
          <c:yMode val="edge"/>
          <c:x val="8.3331951927061748E-2"/>
          <c:y val="0.83292479744379788"/>
          <c:w val="0.81579154579361801"/>
          <c:h val="0.1438867967591007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89618970042537"/>
          <c:y val="0.16652469015420804"/>
          <c:w val="0.75742547342490096"/>
          <c:h val="0.64885788669556443"/>
        </c:manualLayout>
      </c:layout>
      <c:scatterChart>
        <c:scatterStyle val="lineMarker"/>
        <c:varyColors val="0"/>
        <c:ser>
          <c:idx val="0"/>
          <c:order val="0"/>
          <c:tx>
            <c:v>FSL(I&amp;B)</c:v>
          </c:tx>
          <c:spPr>
            <a:ln w="25400" cap="rnd">
              <a:noFill/>
              <a:round/>
            </a:ln>
            <a:effectLst/>
          </c:spPr>
          <c:marker>
            <c:symbol val="square"/>
            <c:size val="6"/>
            <c:spPr>
              <a:solidFill>
                <a:schemeClr val="bg1"/>
              </a:solidFill>
              <a:ln w="9525">
                <a:solidFill>
                  <a:schemeClr val="tx1"/>
                </a:solidFill>
              </a:ln>
              <a:effectLst/>
            </c:spPr>
          </c:marker>
          <c:xVal>
            <c:numRef>
              <c:f>'Final Summary'!$N$26:$N$45</c:f>
              <c:numCache>
                <c:formatCode>0.000</c:formatCode>
                <c:ptCount val="20"/>
                <c:pt idx="0">
                  <c:v>4.531038012233954</c:v>
                </c:pt>
                <c:pt idx="1">
                  <c:v>0.36628433612858424</c:v>
                </c:pt>
                <c:pt idx="2">
                  <c:v>0.39800901685415463</c:v>
                </c:pt>
                <c:pt idx="3">
                  <c:v>#N/A</c:v>
                </c:pt>
                <c:pt idx="4">
                  <c:v>0.67349663088987843</c:v>
                </c:pt>
                <c:pt idx="5">
                  <c:v>1.4196896207753118</c:v>
                </c:pt>
                <c:pt idx="6">
                  <c:v>0.66174912583443657</c:v>
                </c:pt>
                <c:pt idx="7">
                  <c:v>0.31547101888912921</c:v>
                </c:pt>
                <c:pt idx="8">
                  <c:v>#N/A</c:v>
                </c:pt>
                <c:pt idx="9">
                  <c:v>0.19468062364165611</c:v>
                </c:pt>
                <c:pt idx="10">
                  <c:v>0.34818708198556969</c:v>
                </c:pt>
                <c:pt idx="11">
                  <c:v>0.22163239568277454</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FFD-41F3-9EE8-3AFDF28B11B8}"/>
            </c:ext>
          </c:extLst>
        </c:ser>
        <c:ser>
          <c:idx val="1"/>
          <c:order val="1"/>
          <c:tx>
            <c:v>FSL(Cet)</c:v>
          </c:tx>
          <c:spPr>
            <a:ln w="25400" cap="rnd">
              <a:noFill/>
              <a:round/>
            </a:ln>
            <a:effectLst/>
          </c:spPr>
          <c:marker>
            <c:symbol val="triangle"/>
            <c:size val="6"/>
            <c:spPr>
              <a:solidFill>
                <a:schemeClr val="bg1"/>
              </a:solidFill>
              <a:ln w="9525">
                <a:solidFill>
                  <a:schemeClr val="tx1"/>
                </a:solidFill>
              </a:ln>
              <a:effectLst/>
            </c:spPr>
          </c:marker>
          <c:xVal>
            <c:numRef>
              <c:f>'Final Summary'!$S$26:$S$45</c:f>
              <c:numCache>
                <c:formatCode>0.000</c:formatCode>
                <c:ptCount val="20"/>
                <c:pt idx="0">
                  <c:v>0.5067739356819696</c:v>
                </c:pt>
                <c:pt idx="1">
                  <c:v>7.2376967184628785E-2</c:v>
                </c:pt>
                <c:pt idx="2">
                  <c:v>7.5012592581681872E-2</c:v>
                </c:pt>
                <c:pt idx="3">
                  <c:v>#N/A</c:v>
                </c:pt>
                <c:pt idx="4">
                  <c:v>0.12789971804790864</c:v>
                </c:pt>
                <c:pt idx="5">
                  <c:v>0.23106955639281196</c:v>
                </c:pt>
                <c:pt idx="6">
                  <c:v>0.11845791274525296</c:v>
                </c:pt>
                <c:pt idx="7">
                  <c:v>5.2632258672442339E-2</c:v>
                </c:pt>
                <c:pt idx="8">
                  <c:v>#N/A</c:v>
                </c:pt>
                <c:pt idx="9">
                  <c:v>3.399931176180504E-2</c:v>
                </c:pt>
                <c:pt idx="10">
                  <c:v>6.3839566880304122E-2</c:v>
                </c:pt>
                <c:pt idx="11">
                  <c:v>3.783207723839474E-2</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5FFD-41F3-9EE8-3AFDF28B11B8}"/>
            </c:ext>
          </c:extLst>
        </c:ser>
        <c:ser>
          <c:idx val="2"/>
          <c:order val="2"/>
          <c:tx>
            <c:v>FSL = 1</c:v>
          </c:tx>
          <c:spPr>
            <a:ln w="9525" cap="rnd">
              <a:solidFill>
                <a:schemeClr val="tx1"/>
              </a:solidFill>
              <a:prstDash val="sysDot"/>
              <a:round/>
            </a:ln>
            <a:effectLst/>
          </c:spPr>
          <c:marker>
            <c:symbol val="none"/>
          </c:marker>
          <c:xVal>
            <c:numRef>
              <c:f>_Hidden!$T$12:$T$13</c:f>
              <c:numCache>
                <c:formatCode>General</c:formatCode>
                <c:ptCount val="2"/>
                <c:pt idx="0">
                  <c:v>1</c:v>
                </c:pt>
                <c:pt idx="1">
                  <c:v>1</c:v>
                </c:pt>
              </c:numCache>
            </c:numRef>
          </c:xVal>
          <c:yVal>
            <c:numRef>
              <c:f>_Hidden!$S$12:$S$13</c:f>
              <c:numCache>
                <c:formatCode>0.00</c:formatCode>
                <c:ptCount val="2"/>
                <c:pt idx="0" formatCode="General">
                  <c:v>0</c:v>
                </c:pt>
                <c:pt idx="1">
                  <c:v>59</c:v>
                </c:pt>
              </c:numCache>
            </c:numRef>
          </c:yVal>
          <c:smooth val="0"/>
          <c:extLst>
            <c:ext xmlns:c16="http://schemas.microsoft.com/office/drawing/2014/chart" uri="{C3380CC4-5D6E-409C-BE32-E72D297353CC}">
              <c16:uniqueId val="{00000002-5FFD-41F3-9EE8-3AFDF28B11B8}"/>
            </c:ext>
          </c:extLst>
        </c:ser>
        <c:dLbls>
          <c:showLegendKey val="0"/>
          <c:showVal val="0"/>
          <c:showCatName val="0"/>
          <c:showSerName val="0"/>
          <c:showPercent val="0"/>
          <c:showBubbleSize val="0"/>
        </c:dLbls>
        <c:axId val="264700288"/>
        <c:axId val="264701824"/>
      </c:scatterChart>
      <c:valAx>
        <c:axId val="264700288"/>
        <c:scaling>
          <c:orientation val="minMax"/>
          <c:max val="3"/>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i="1"/>
                  <a:t>FS</a:t>
                </a:r>
                <a:r>
                  <a:rPr lang="en-US" i="1" baseline="-25000"/>
                  <a:t>L</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701824"/>
        <c:crosses val="autoZero"/>
        <c:crossBetween val="midCat"/>
        <c:majorUnit val="1"/>
      </c:valAx>
      <c:valAx>
        <c:axId val="264701824"/>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4700288"/>
        <c:crosses val="autoZero"/>
        <c:crossBetween val="midCat"/>
      </c:valAx>
      <c:spPr>
        <a:noFill/>
        <a:ln>
          <a:noFill/>
        </a:ln>
        <a:effectLst/>
      </c:spPr>
    </c:plotArea>
    <c:legend>
      <c:legendPos val="b"/>
      <c:layout>
        <c:manualLayout>
          <c:xMode val="edge"/>
          <c:yMode val="edge"/>
          <c:x val="0.15424332827961723"/>
          <c:y val="0.8471768409189071"/>
          <c:w val="0.65010547594594159"/>
          <c:h val="0.1338298124354674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5783775264260544"/>
          <c:y val="0.13547476130701053"/>
          <c:w val="0.63645070095085099"/>
          <c:h val="0.66403986458214459"/>
        </c:manualLayout>
      </c:layout>
      <c:scatterChart>
        <c:scatterStyle val="lineMarker"/>
        <c:varyColors val="0"/>
        <c:ser>
          <c:idx val="0"/>
          <c:order val="0"/>
          <c:tx>
            <c:v>Nsite (I&amp;B)</c:v>
          </c:tx>
          <c:spPr>
            <a:ln w="19050" cap="rnd">
              <a:solidFill>
                <a:schemeClr val="tx1"/>
              </a:solidFill>
              <a:prstDash val="solid"/>
              <a:round/>
            </a:ln>
            <a:effectLst/>
          </c:spPr>
          <c:marker>
            <c:symbol val="none"/>
          </c:marker>
          <c:xVal>
            <c:numRef>
              <c:f>_Hidden!$F$6:$F$45</c:f>
              <c:numCache>
                <c:formatCode>0.00</c:formatCode>
                <c:ptCount val="40"/>
                <c:pt idx="0">
                  <c:v>33.874185446686866</c:v>
                </c:pt>
                <c:pt idx="1">
                  <c:v>33.874185446686866</c:v>
                </c:pt>
                <c:pt idx="2">
                  <c:v>11.900438780020192</c:v>
                </c:pt>
                <c:pt idx="3">
                  <c:v>11.900438780020192</c:v>
                </c:pt>
                <c:pt idx="4">
                  <c:v>13.693403668256009</c:v>
                </c:pt>
                <c:pt idx="5">
                  <c:v>13.693403668256009</c:v>
                </c:pt>
                <c:pt idx="6">
                  <c:v>7.5891695726420965</c:v>
                </c:pt>
                <c:pt idx="7">
                  <c:v>7.5891695726420965</c:v>
                </c:pt>
                <c:pt idx="8">
                  <c:v>21.708473911296679</c:v>
                </c:pt>
                <c:pt idx="9">
                  <c:v>21.708473911296679</c:v>
                </c:pt>
                <c:pt idx="10">
                  <c:v>29.14039966028972</c:v>
                </c:pt>
                <c:pt idx="11">
                  <c:v>29.14039966028972</c:v>
                </c:pt>
                <c:pt idx="12">
                  <c:v>21.337630575889257</c:v>
                </c:pt>
                <c:pt idx="13">
                  <c:v>21.337630575889257</c:v>
                </c:pt>
                <c:pt idx="14">
                  <c:v>9.4876390112066709</c:v>
                </c:pt>
                <c:pt idx="15">
                  <c:v>9.4876390112066709</c:v>
                </c:pt>
                <c:pt idx="16">
                  <c:v>7.3030476983682764</c:v>
                </c:pt>
                <c:pt idx="17">
                  <c:v>7.3030476983682764</c:v>
                </c:pt>
                <c:pt idx="18">
                  <c:v>1.6327566637818389</c:v>
                </c:pt>
                <c:pt idx="19">
                  <c:v>1.6327566637818389</c:v>
                </c:pt>
                <c:pt idx="20">
                  <c:v>9.6599215676559655</c:v>
                </c:pt>
                <c:pt idx="21">
                  <c:v>9.6599215676559655</c:v>
                </c:pt>
                <c:pt idx="22">
                  <c:v>2.3758590121854533</c:v>
                </c:pt>
                <c:pt idx="23">
                  <c:v>2.3758590121854533</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xVal>
          <c:yVal>
            <c:numRef>
              <c:f>_Hidden!$E$6:$E$45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59</c:v>
                </c:pt>
                <c:pt idx="26">
                  <c:v>59</c:v>
                </c:pt>
                <c:pt idx="27">
                  <c:v>59</c:v>
                </c:pt>
                <c:pt idx="28">
                  <c:v>59</c:v>
                </c:pt>
                <c:pt idx="29">
                  <c:v>59</c:v>
                </c:pt>
                <c:pt idx="30">
                  <c:v>59</c:v>
                </c:pt>
                <c:pt idx="31">
                  <c:v>59</c:v>
                </c:pt>
                <c:pt idx="32">
                  <c:v>59</c:v>
                </c:pt>
                <c:pt idx="33">
                  <c:v>59</c:v>
                </c:pt>
                <c:pt idx="34">
                  <c:v>59</c:v>
                </c:pt>
                <c:pt idx="35">
                  <c:v>59</c:v>
                </c:pt>
                <c:pt idx="36">
                  <c:v>59</c:v>
                </c:pt>
                <c:pt idx="37">
                  <c:v>59</c:v>
                </c:pt>
                <c:pt idx="38">
                  <c:v>59</c:v>
                </c:pt>
                <c:pt idx="39">
                  <c:v>59</c:v>
                </c:pt>
              </c:numCache>
            </c:numRef>
          </c:yVal>
          <c:smooth val="0"/>
          <c:extLst>
            <c:ext xmlns:c16="http://schemas.microsoft.com/office/drawing/2014/chart" uri="{C3380CC4-5D6E-409C-BE32-E72D297353CC}">
              <c16:uniqueId val="{00000000-11B4-47B7-B416-FD3492E2ABF9}"/>
            </c:ext>
          </c:extLst>
        </c:ser>
        <c:ser>
          <c:idx val="1"/>
          <c:order val="1"/>
          <c:tx>
            <c:v>Nreq(I&amp;B)</c:v>
          </c:tx>
          <c:spPr>
            <a:ln w="19050" cap="rnd">
              <a:noFill/>
              <a:round/>
            </a:ln>
            <a:effectLst/>
          </c:spPr>
          <c:marker>
            <c:symbol val="square"/>
            <c:size val="6"/>
            <c:spPr>
              <a:solidFill>
                <a:schemeClr val="bg1"/>
              </a:solidFill>
              <a:ln w="9525">
                <a:solidFill>
                  <a:schemeClr val="tx1"/>
                </a:solidFill>
              </a:ln>
              <a:effectLst/>
            </c:spPr>
          </c:marker>
          <c:xVal>
            <c:numRef>
              <c:f>'Final Summary'!$L$26:$L$45</c:f>
              <c:numCache>
                <c:formatCode>0.00</c:formatCode>
                <c:ptCount val="20"/>
                <c:pt idx="0">
                  <c:v>19.147705078125</c:v>
                </c:pt>
                <c:pt idx="1">
                  <c:v>27.375556945800781</c:v>
                </c:pt>
                <c:pt idx="2">
                  <c:v>27.535186767578125</c:v>
                </c:pt>
                <c:pt idx="3">
                  <c:v>#N/A</c:v>
                </c:pt>
                <c:pt idx="4">
                  <c:v>26.788627624511719</c:v>
                </c:pt>
                <c:pt idx="5">
                  <c:v>25.683929443359375</c:v>
                </c:pt>
                <c:pt idx="6">
                  <c:v>26.725074768066406</c:v>
                </c:pt>
                <c:pt idx="7">
                  <c:v>27.469764709472656</c:v>
                </c:pt>
                <c:pt idx="8">
                  <c:v>#N/A</c:v>
                </c:pt>
                <c:pt idx="9">
                  <c:v>27.121719360351563</c:v>
                </c:pt>
                <c:pt idx="10">
                  <c:v>26.560958862304688</c:v>
                </c:pt>
                <c:pt idx="11">
                  <c:v>26.304130554199219</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11B4-47B7-B416-FD3492E2ABF9}"/>
            </c:ext>
          </c:extLst>
        </c:ser>
        <c:ser>
          <c:idx val="2"/>
          <c:order val="2"/>
          <c:tx>
            <c:v>Nsite(Cet)</c:v>
          </c:tx>
          <c:spPr>
            <a:ln w="19050" cap="rnd">
              <a:solidFill>
                <a:schemeClr val="tx1"/>
              </a:solidFill>
              <a:prstDash val="sysDash"/>
              <a:round/>
            </a:ln>
            <a:effectLst/>
          </c:spPr>
          <c:marker>
            <c:symbol val="none"/>
          </c:marker>
          <c:xVal>
            <c:numRef>
              <c:f>_Hidden!$L$6:$L$45</c:f>
              <c:numCache>
                <c:formatCode>0.00</c:formatCode>
                <c:ptCount val="40"/>
                <c:pt idx="0">
                  <c:v>32.632000000000005</c:v>
                </c:pt>
                <c:pt idx="1">
                  <c:v>32.632000000000005</c:v>
                </c:pt>
                <c:pt idx="2">
                  <c:v>10.621491593382261</c:v>
                </c:pt>
                <c:pt idx="3">
                  <c:v>10.621491593382261</c:v>
                </c:pt>
                <c:pt idx="4">
                  <c:v>13.32533678800505</c:v>
                </c:pt>
                <c:pt idx="5">
                  <c:v>13.32533678800505</c:v>
                </c:pt>
                <c:pt idx="6">
                  <c:v>4.0320252341104634</c:v>
                </c:pt>
                <c:pt idx="7">
                  <c:v>4.0320252341104634</c:v>
                </c:pt>
                <c:pt idx="8">
                  <c:v>22.247219944730496</c:v>
                </c:pt>
                <c:pt idx="9">
                  <c:v>22.247219944730496</c:v>
                </c:pt>
                <c:pt idx="10">
                  <c:v>30.426482551232123</c:v>
                </c:pt>
                <c:pt idx="11">
                  <c:v>30.426482551232123</c:v>
                </c:pt>
                <c:pt idx="12">
                  <c:v>20.884133717749325</c:v>
                </c:pt>
                <c:pt idx="13">
                  <c:v>20.884133717749325</c:v>
                </c:pt>
                <c:pt idx="14">
                  <c:v>9.1514758932516074</c:v>
                </c:pt>
                <c:pt idx="15">
                  <c:v>9.1514758932516074</c:v>
                </c:pt>
                <c:pt idx="16">
                  <c:v>4.144728715335928</c:v>
                </c:pt>
                <c:pt idx="17">
                  <c:v>4.144728715335928</c:v>
                </c:pt>
                <c:pt idx="18">
                  <c:v>2.0632593460236448</c:v>
                </c:pt>
                <c:pt idx="19">
                  <c:v>2.0632593460236448</c:v>
                </c:pt>
                <c:pt idx="20">
                  <c:v>10.322847584760181</c:v>
                </c:pt>
                <c:pt idx="21">
                  <c:v>10.322847584760181</c:v>
                </c:pt>
                <c:pt idx="22">
                  <c:v>2.9720420997108414</c:v>
                </c:pt>
                <c:pt idx="23">
                  <c:v>2.9720420997108414</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xVal>
          <c:yVal>
            <c:numRef>
              <c:f>_Hidden!$E$6:$E$45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59</c:v>
                </c:pt>
                <c:pt idx="26">
                  <c:v>59</c:v>
                </c:pt>
                <c:pt idx="27">
                  <c:v>59</c:v>
                </c:pt>
                <c:pt idx="28">
                  <c:v>59</c:v>
                </c:pt>
                <c:pt idx="29">
                  <c:v>59</c:v>
                </c:pt>
                <c:pt idx="30">
                  <c:v>59</c:v>
                </c:pt>
                <c:pt idx="31">
                  <c:v>59</c:v>
                </c:pt>
                <c:pt idx="32">
                  <c:v>59</c:v>
                </c:pt>
                <c:pt idx="33">
                  <c:v>59</c:v>
                </c:pt>
                <c:pt idx="34">
                  <c:v>59</c:v>
                </c:pt>
                <c:pt idx="35">
                  <c:v>59</c:v>
                </c:pt>
                <c:pt idx="36">
                  <c:v>59</c:v>
                </c:pt>
                <c:pt idx="37">
                  <c:v>59</c:v>
                </c:pt>
                <c:pt idx="38">
                  <c:v>59</c:v>
                </c:pt>
                <c:pt idx="39">
                  <c:v>59</c:v>
                </c:pt>
              </c:numCache>
            </c:numRef>
          </c:yVal>
          <c:smooth val="0"/>
          <c:extLst>
            <c:ext xmlns:c16="http://schemas.microsoft.com/office/drawing/2014/chart" uri="{C3380CC4-5D6E-409C-BE32-E72D297353CC}">
              <c16:uniqueId val="{00000002-11B4-47B7-B416-FD3492E2ABF9}"/>
            </c:ext>
          </c:extLst>
        </c:ser>
        <c:ser>
          <c:idx val="3"/>
          <c:order val="3"/>
          <c:tx>
            <c:v>Nreq (Cet)</c:v>
          </c:tx>
          <c:spPr>
            <a:ln w="19050" cap="rnd">
              <a:noFill/>
              <a:round/>
            </a:ln>
            <a:effectLst/>
          </c:spPr>
          <c:marker>
            <c:symbol val="triangle"/>
            <c:size val="6"/>
            <c:spPr>
              <a:solidFill>
                <a:schemeClr val="bg1"/>
              </a:solidFill>
              <a:ln w="9525">
                <a:solidFill>
                  <a:schemeClr val="tx1"/>
                </a:solidFill>
              </a:ln>
              <a:effectLst/>
            </c:spPr>
          </c:marker>
          <c:xVal>
            <c:numRef>
              <c:f>'Final Summary'!$Q$26:$Q$45</c:f>
              <c:numCache>
                <c:formatCode>0.00</c:formatCode>
                <c:ptCount val="20"/>
                <c:pt idx="0">
                  <c:v>42.004928699970996</c:v>
                </c:pt>
                <c:pt idx="1">
                  <c:v>46.832199771351362</c:v>
                </c:pt>
                <c:pt idx="2">
                  <c:v>49.042805837838067</c:v>
                </c:pt>
                <c:pt idx="3">
                  <c:v>#N/A</c:v>
                </c:pt>
                <c:pt idx="4">
                  <c:v>50.606475950225416</c:v>
                </c:pt>
                <c:pt idx="5">
                  <c:v>50.629335939451124</c:v>
                </c:pt>
                <c:pt idx="6">
                  <c:v>50.3009279074316</c:v>
                </c:pt>
                <c:pt idx="7">
                  <c:v>49.75511132234022</c:v>
                </c:pt>
                <c:pt idx="8">
                  <c:v>#N/A</c:v>
                </c:pt>
                <c:pt idx="9">
                  <c:v>48.692972152870666</c:v>
                </c:pt>
                <c:pt idx="10">
                  <c:v>48.264406886072805</c:v>
                </c:pt>
                <c:pt idx="11">
                  <c:v>48.128747582366231</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3-11B4-47B7-B416-FD3492E2ABF9}"/>
            </c:ext>
          </c:extLst>
        </c:ser>
        <c:dLbls>
          <c:showLegendKey val="0"/>
          <c:showVal val="0"/>
          <c:showCatName val="0"/>
          <c:showSerName val="0"/>
          <c:showPercent val="0"/>
          <c:showBubbleSize val="0"/>
        </c:dLbls>
        <c:axId val="264754304"/>
        <c:axId val="264756608"/>
      </c:scatterChart>
      <c:valAx>
        <c:axId val="264754304"/>
        <c:scaling>
          <c:orientation val="minMax"/>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a:t>(</a:t>
                </a:r>
                <a:r>
                  <a:rPr lang="en-US" i="1"/>
                  <a:t>N</a:t>
                </a:r>
                <a:r>
                  <a:rPr lang="en-US" baseline="-25000"/>
                  <a:t>1</a:t>
                </a:r>
                <a:r>
                  <a:rPr lang="en-US"/>
                  <a:t>)</a:t>
                </a:r>
                <a:r>
                  <a:rPr lang="en-US" baseline="-25000"/>
                  <a:t>60,cs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756608"/>
        <c:crosses val="autoZero"/>
        <c:crossBetween val="midCat"/>
        <c:majorUnit val="10"/>
      </c:valAx>
      <c:valAx>
        <c:axId val="264756608"/>
        <c:scaling>
          <c:orientation val="maxMin"/>
        </c:scaling>
        <c:delete val="0"/>
        <c:axPos val="l"/>
        <c:majorGridlines>
          <c:spPr>
            <a:ln w="9525" cap="flat" cmpd="sng" algn="ctr">
              <a:solidFill>
                <a:schemeClr val="tx1">
                  <a:lumMod val="15000"/>
                  <a:lumOff val="85000"/>
                </a:schemeClr>
              </a:solidFill>
              <a:round/>
            </a:ln>
            <a:effectLst/>
          </c:spPr>
        </c:majorGridlines>
        <c:title>
          <c:tx>
            <c:strRef>
              <c:f>_Hidden!$A$41</c:f>
              <c:strCache>
                <c:ptCount val="1"/>
                <c:pt idx="0">
                  <c:v>Depth [ft]</c:v>
                </c:pt>
              </c:strCache>
            </c:strRef>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754304"/>
        <c:crosses val="autoZero"/>
        <c:crossBetween val="midCat"/>
      </c:valAx>
      <c:spPr>
        <a:noFill/>
        <a:ln>
          <a:noFill/>
        </a:ln>
        <a:effectLst/>
      </c:spPr>
    </c:plotArea>
    <c:legend>
      <c:legendPos val="b"/>
      <c:layout>
        <c:manualLayout>
          <c:xMode val="edge"/>
          <c:yMode val="edge"/>
          <c:x val="0"/>
          <c:y val="0.82495735859104558"/>
          <c:w val="0.9823784345797355"/>
          <c:h val="0.1552177716915820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666644269452881"/>
          <c:y val="0.13547476130701053"/>
          <c:w val="0.74666711461094237"/>
          <c:h val="0.65992468332762755"/>
        </c:manualLayout>
      </c:layout>
      <c:scatterChart>
        <c:scatterStyle val="lineMarker"/>
        <c:varyColors val="0"/>
        <c:ser>
          <c:idx val="1"/>
          <c:order val="0"/>
          <c:tx>
            <c:v>CRR(I&amp;B)</c:v>
          </c:tx>
          <c:spPr>
            <a:ln w="19050" cap="rnd">
              <a:solidFill>
                <a:schemeClr val="tx1"/>
              </a:solidFill>
              <a:round/>
            </a:ln>
            <a:effectLst/>
          </c:spPr>
          <c:marker>
            <c:symbol val="none"/>
          </c:marker>
          <c:dPt>
            <c:idx val="11"/>
            <c:marker>
              <c:symbol val="none"/>
            </c:marker>
            <c:bubble3D val="0"/>
            <c:extLst>
              <c:ext xmlns:c16="http://schemas.microsoft.com/office/drawing/2014/chart" uri="{C3380CC4-5D6E-409C-BE32-E72D297353CC}">
                <c16:uniqueId val="{00000000-C9A6-449F-9975-084926AA4001}"/>
              </c:ext>
            </c:extLst>
          </c:dPt>
          <c:xVal>
            <c:numRef>
              <c:f>_Hidden!$J$6:$J$45</c:f>
              <c:numCache>
                <c:formatCode>0.00</c:formatCode>
                <c:ptCount val="40"/>
                <c:pt idx="0" formatCode="General">
                  <c:v>1.010930585237902</c:v>
                </c:pt>
                <c:pt idx="1">
                  <c:v>1.010930585237902</c:v>
                </c:pt>
                <c:pt idx="2" formatCode="General">
                  <c:v>0.15000143450236353</c:v>
                </c:pt>
                <c:pt idx="3">
                  <c:v>0.15000143450236353</c:v>
                </c:pt>
                <c:pt idx="4" formatCode="General">
                  <c:v>0.165646826340756</c:v>
                </c:pt>
                <c:pt idx="5">
                  <c:v>0.165646826340756</c:v>
                </c:pt>
                <c:pt idx="6" formatCode="General">
                  <c:v>0.11608672878067261</c:v>
                </c:pt>
                <c:pt idx="7">
                  <c:v>0.11608672878067261</c:v>
                </c:pt>
                <c:pt idx="8" formatCode="General">
                  <c:v>0.26042037964772907</c:v>
                </c:pt>
                <c:pt idx="9">
                  <c:v>0.26042037964772907</c:v>
                </c:pt>
                <c:pt idx="10" formatCode="General">
                  <c:v>0.49659069667537709</c:v>
                </c:pt>
                <c:pt idx="11">
                  <c:v>0.49659069667537709</c:v>
                </c:pt>
                <c:pt idx="12" formatCode="General">
                  <c:v>0.25433828936835712</c:v>
                </c:pt>
                <c:pt idx="13">
                  <c:v>0.25433828936835712</c:v>
                </c:pt>
                <c:pt idx="14" formatCode="General">
                  <c:v>0.1304252794205025</c:v>
                </c:pt>
                <c:pt idx="15">
                  <c:v>0.1304252794205025</c:v>
                </c:pt>
                <c:pt idx="16" formatCode="General">
                  <c:v>0.11400729285551024</c:v>
                </c:pt>
                <c:pt idx="17">
                  <c:v>0.11400729285551024</c:v>
                </c:pt>
                <c:pt idx="18" formatCode="General">
                  <c:v>7.774291842473656E-2</c:v>
                </c:pt>
                <c:pt idx="19">
                  <c:v>7.774291842473656E-2</c:v>
                </c:pt>
                <c:pt idx="20" formatCode="General">
                  <c:v>0.13177233281099929</c:v>
                </c:pt>
                <c:pt idx="21">
                  <c:v>0.13177233281099929</c:v>
                </c:pt>
                <c:pt idx="22" formatCode="General">
                  <c:v>8.1913820303973858E-2</c:v>
                </c:pt>
                <c:pt idx="23">
                  <c:v>8.1913820303973858E-2</c:v>
                </c:pt>
                <c:pt idx="24" formatCode="General">
                  <c:v>#N/A</c:v>
                </c:pt>
                <c:pt idx="25">
                  <c:v>#N/A</c:v>
                </c:pt>
                <c:pt idx="26" formatCode="General">
                  <c:v>#N/A</c:v>
                </c:pt>
                <c:pt idx="27">
                  <c:v>#N/A</c:v>
                </c:pt>
                <c:pt idx="28" formatCode="General">
                  <c:v>#N/A</c:v>
                </c:pt>
                <c:pt idx="29">
                  <c:v>#N/A</c:v>
                </c:pt>
                <c:pt idx="30" formatCode="General">
                  <c:v>#N/A</c:v>
                </c:pt>
                <c:pt idx="31">
                  <c:v>#N/A</c:v>
                </c:pt>
                <c:pt idx="32" formatCode="General">
                  <c:v>#N/A</c:v>
                </c:pt>
                <c:pt idx="33">
                  <c:v>#N/A</c:v>
                </c:pt>
                <c:pt idx="34" formatCode="General">
                  <c:v>#N/A</c:v>
                </c:pt>
                <c:pt idx="35">
                  <c:v>#N/A</c:v>
                </c:pt>
                <c:pt idx="36" formatCode="General">
                  <c:v>#N/A</c:v>
                </c:pt>
                <c:pt idx="37">
                  <c:v>#N/A</c:v>
                </c:pt>
                <c:pt idx="38" formatCode="General">
                  <c:v>#N/A</c:v>
                </c:pt>
                <c:pt idx="39">
                  <c:v>#N/A</c:v>
                </c:pt>
              </c:numCache>
            </c:numRef>
          </c:xVal>
          <c:yVal>
            <c:numRef>
              <c:f>_Hidden!$E$6:$E$45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59</c:v>
                </c:pt>
                <c:pt idx="26">
                  <c:v>59</c:v>
                </c:pt>
                <c:pt idx="27">
                  <c:v>59</c:v>
                </c:pt>
                <c:pt idx="28">
                  <c:v>59</c:v>
                </c:pt>
                <c:pt idx="29">
                  <c:v>59</c:v>
                </c:pt>
                <c:pt idx="30">
                  <c:v>59</c:v>
                </c:pt>
                <c:pt idx="31">
                  <c:v>59</c:v>
                </c:pt>
                <c:pt idx="32">
                  <c:v>59</c:v>
                </c:pt>
                <c:pt idx="33">
                  <c:v>59</c:v>
                </c:pt>
                <c:pt idx="34">
                  <c:v>59</c:v>
                </c:pt>
                <c:pt idx="35">
                  <c:v>59</c:v>
                </c:pt>
                <c:pt idx="36">
                  <c:v>59</c:v>
                </c:pt>
                <c:pt idx="37">
                  <c:v>59</c:v>
                </c:pt>
                <c:pt idx="38">
                  <c:v>59</c:v>
                </c:pt>
                <c:pt idx="39">
                  <c:v>59</c:v>
                </c:pt>
              </c:numCache>
            </c:numRef>
          </c:yVal>
          <c:smooth val="0"/>
          <c:extLst>
            <c:ext xmlns:c16="http://schemas.microsoft.com/office/drawing/2014/chart" uri="{C3380CC4-5D6E-409C-BE32-E72D297353CC}">
              <c16:uniqueId val="{00000001-C9A6-449F-9975-084926AA4001}"/>
            </c:ext>
          </c:extLst>
        </c:ser>
        <c:ser>
          <c:idx val="0"/>
          <c:order val="1"/>
          <c:tx>
            <c:v>CSR(I&amp;B)</c:v>
          </c:tx>
          <c:spPr>
            <a:ln w="19050" cap="rnd">
              <a:noFill/>
              <a:round/>
            </a:ln>
            <a:effectLst/>
          </c:spPr>
          <c:marker>
            <c:symbol val="square"/>
            <c:size val="6"/>
            <c:spPr>
              <a:solidFill>
                <a:schemeClr val="bg1"/>
              </a:solidFill>
              <a:ln w="9525">
                <a:solidFill>
                  <a:schemeClr val="tx1"/>
                </a:solidFill>
              </a:ln>
              <a:effectLst/>
            </c:spPr>
          </c:marker>
          <c:xVal>
            <c:numRef>
              <c:f>'Final Summary'!$M$26:$M$45</c:f>
              <c:numCache>
                <c:formatCode>0.0000</c:formatCode>
                <c:ptCount val="20"/>
                <c:pt idx="0">
                  <c:v>0.22311236023806372</c:v>
                </c:pt>
                <c:pt idx="1">
                  <c:v>0.40952183783721907</c:v>
                </c:pt>
                <c:pt idx="2">
                  <c:v>0.4161886272075469</c:v>
                </c:pt>
                <c:pt idx="3">
                  <c:v>#N/A</c:v>
                </c:pt>
                <c:pt idx="4">
                  <c:v>0.38666916463062412</c:v>
                </c:pt>
                <c:pt idx="5">
                  <c:v>0.34978821385211095</c:v>
                </c:pt>
                <c:pt idx="6">
                  <c:v>0.38434246369067387</c:v>
                </c:pt>
                <c:pt idx="7">
                  <c:v>0.41343030456417246</c:v>
                </c:pt>
                <c:pt idx="8">
                  <c:v>#N/A</c:v>
                </c:pt>
                <c:pt idx="9">
                  <c:v>0.3993356758905604</c:v>
                </c:pt>
                <c:pt idx="10">
                  <c:v>0.37845267566951402</c:v>
                </c:pt>
                <c:pt idx="11">
                  <c:v>0.36959317274726489</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2-C9A6-449F-9975-084926AA4001}"/>
            </c:ext>
          </c:extLst>
        </c:ser>
        <c:ser>
          <c:idx val="3"/>
          <c:order val="2"/>
          <c:tx>
            <c:v>CRR(Cet)</c:v>
          </c:tx>
          <c:spPr>
            <a:ln w="19050" cap="rnd">
              <a:solidFill>
                <a:schemeClr val="tx1"/>
              </a:solidFill>
              <a:prstDash val="sysDash"/>
              <a:round/>
            </a:ln>
            <a:effectLst/>
          </c:spPr>
          <c:marker>
            <c:symbol val="none"/>
          </c:marker>
          <c:xVal>
            <c:numRef>
              <c:f>_Hidden!$P$6:$P$45</c:f>
              <c:numCache>
                <c:formatCode>0.00</c:formatCode>
                <c:ptCount val="40"/>
                <c:pt idx="0" formatCode="General">
                  <c:v>1.3608487094538979</c:v>
                </c:pt>
                <c:pt idx="1">
                  <c:v>1.3608487094538979</c:v>
                </c:pt>
                <c:pt idx="2" formatCode="General">
                  <c:v>0.19244789554341832</c:v>
                </c:pt>
                <c:pt idx="3">
                  <c:v>0.19244789554341832</c:v>
                </c:pt>
                <c:pt idx="4" formatCode="General">
                  <c:v>0.1957375324081809</c:v>
                </c:pt>
                <c:pt idx="5">
                  <c:v>0.1957375324081809</c:v>
                </c:pt>
                <c:pt idx="6" formatCode="General">
                  <c:v>9.0382852623987819E-2</c:v>
                </c:pt>
                <c:pt idx="7">
                  <c:v>9.0382852623987819E-2</c:v>
                </c:pt>
                <c:pt idx="8" formatCode="General">
                  <c:v>0.31057385958818323</c:v>
                </c:pt>
                <c:pt idx="9">
                  <c:v>0.31057385958818323</c:v>
                </c:pt>
                <c:pt idx="10" formatCode="General">
                  <c:v>0.52905521945189915</c:v>
                </c:pt>
                <c:pt idx="11">
                  <c:v>0.52905521945189915</c:v>
                </c:pt>
                <c:pt idx="12" formatCode="General">
                  <c:v>0.25202247211779544</c:v>
                </c:pt>
                <c:pt idx="13">
                  <c:v>0.25202247211779544</c:v>
                </c:pt>
                <c:pt idx="14" formatCode="General">
                  <c:v>0.10319877649230906</c:v>
                </c:pt>
                <c:pt idx="15">
                  <c:v>0.10319877649230906</c:v>
                </c:pt>
                <c:pt idx="16" formatCode="General">
                  <c:v>6.8970953672722005E-2</c:v>
                </c:pt>
                <c:pt idx="17">
                  <c:v>6.8970953672722005E-2</c:v>
                </c:pt>
                <c:pt idx="18" formatCode="General">
                  <c:v>5.7798207843553974E-2</c:v>
                </c:pt>
                <c:pt idx="19">
                  <c:v>5.7798207843553974E-2</c:v>
                </c:pt>
                <c:pt idx="20" formatCode="General">
                  <c:v>0.10134579345251878</c:v>
                </c:pt>
                <c:pt idx="21">
                  <c:v>0.10134579345251878</c:v>
                </c:pt>
                <c:pt idx="22" formatCode="General">
                  <c:v>5.7822428737821022E-2</c:v>
                </c:pt>
                <c:pt idx="23">
                  <c:v>5.7822428737821022E-2</c:v>
                </c:pt>
                <c:pt idx="24" formatCode="General">
                  <c:v>#N/A</c:v>
                </c:pt>
                <c:pt idx="25">
                  <c:v>#N/A</c:v>
                </c:pt>
                <c:pt idx="26" formatCode="General">
                  <c:v>#N/A</c:v>
                </c:pt>
                <c:pt idx="27">
                  <c:v>#N/A</c:v>
                </c:pt>
                <c:pt idx="28" formatCode="General">
                  <c:v>#N/A</c:v>
                </c:pt>
                <c:pt idx="29">
                  <c:v>#N/A</c:v>
                </c:pt>
                <c:pt idx="30" formatCode="General">
                  <c:v>#N/A</c:v>
                </c:pt>
                <c:pt idx="31">
                  <c:v>#N/A</c:v>
                </c:pt>
                <c:pt idx="32" formatCode="General">
                  <c:v>#N/A</c:v>
                </c:pt>
                <c:pt idx="33">
                  <c:v>#N/A</c:v>
                </c:pt>
                <c:pt idx="34" formatCode="General">
                  <c:v>#N/A</c:v>
                </c:pt>
                <c:pt idx="35">
                  <c:v>#N/A</c:v>
                </c:pt>
                <c:pt idx="36" formatCode="General">
                  <c:v>#N/A</c:v>
                </c:pt>
                <c:pt idx="37">
                  <c:v>#N/A</c:v>
                </c:pt>
                <c:pt idx="38" formatCode="General">
                  <c:v>#N/A</c:v>
                </c:pt>
                <c:pt idx="39">
                  <c:v>#N/A</c:v>
                </c:pt>
              </c:numCache>
            </c:numRef>
          </c:xVal>
          <c:yVal>
            <c:numRef>
              <c:f>_Hidden!$E$6:$E$45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59</c:v>
                </c:pt>
                <c:pt idx="26">
                  <c:v>59</c:v>
                </c:pt>
                <c:pt idx="27">
                  <c:v>59</c:v>
                </c:pt>
                <c:pt idx="28">
                  <c:v>59</c:v>
                </c:pt>
                <c:pt idx="29">
                  <c:v>59</c:v>
                </c:pt>
                <c:pt idx="30">
                  <c:v>59</c:v>
                </c:pt>
                <c:pt idx="31">
                  <c:v>59</c:v>
                </c:pt>
                <c:pt idx="32">
                  <c:v>59</c:v>
                </c:pt>
                <c:pt idx="33">
                  <c:v>59</c:v>
                </c:pt>
                <c:pt idx="34">
                  <c:v>59</c:v>
                </c:pt>
                <c:pt idx="35">
                  <c:v>59</c:v>
                </c:pt>
                <c:pt idx="36">
                  <c:v>59</c:v>
                </c:pt>
                <c:pt idx="37">
                  <c:v>59</c:v>
                </c:pt>
                <c:pt idx="38">
                  <c:v>59</c:v>
                </c:pt>
                <c:pt idx="39">
                  <c:v>59</c:v>
                </c:pt>
              </c:numCache>
            </c:numRef>
          </c:yVal>
          <c:smooth val="0"/>
          <c:extLst>
            <c:ext xmlns:c16="http://schemas.microsoft.com/office/drawing/2014/chart" uri="{C3380CC4-5D6E-409C-BE32-E72D297353CC}">
              <c16:uniqueId val="{00000003-C9A6-449F-9975-084926AA4001}"/>
            </c:ext>
          </c:extLst>
        </c:ser>
        <c:ser>
          <c:idx val="2"/>
          <c:order val="3"/>
          <c:tx>
            <c:v>CSR(Cet)</c:v>
          </c:tx>
          <c:spPr>
            <a:ln w="19050" cap="rnd">
              <a:noFill/>
              <a:round/>
            </a:ln>
            <a:effectLst/>
          </c:spPr>
          <c:marker>
            <c:symbol val="triangle"/>
            <c:size val="6"/>
            <c:spPr>
              <a:solidFill>
                <a:schemeClr val="bg1"/>
              </a:solidFill>
              <a:ln w="9525">
                <a:solidFill>
                  <a:schemeClr val="tx1"/>
                </a:solidFill>
              </a:ln>
              <a:effectLst/>
            </c:spPr>
          </c:marker>
          <c:xVal>
            <c:numRef>
              <c:f>'Final Summary'!$R$26:$R$45</c:f>
              <c:numCache>
                <c:formatCode>0.0000</c:formatCode>
                <c:ptCount val="20"/>
                <c:pt idx="0">
                  <c:v>2.6853170884224604</c:v>
                </c:pt>
                <c:pt idx="1">
                  <c:v>2.6589660085161717</c:v>
                </c:pt>
                <c:pt idx="2">
                  <c:v>2.6093956450717322</c:v>
                </c:pt>
                <c:pt idx="3">
                  <c:v>#N/A</c:v>
                </c:pt>
                <c:pt idx="4">
                  <c:v>2.4282607055619039</c:v>
                </c:pt>
                <c:pt idx="5">
                  <c:v>2.2895929161369906</c:v>
                </c:pt>
                <c:pt idx="6">
                  <c:v>2.1275275435569823</c:v>
                </c:pt>
                <c:pt idx="7">
                  <c:v>1.9607514306875602</c:v>
                </c:pt>
                <c:pt idx="8">
                  <c:v>#N/A</c:v>
                </c:pt>
                <c:pt idx="9">
                  <c:v>1.6999817010556288</c:v>
                </c:pt>
                <c:pt idx="10">
                  <c:v>1.5875075349827623</c:v>
                </c:pt>
                <c:pt idx="11">
                  <c:v>1.5283968779578039</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4-C9A6-449F-9975-084926AA4001}"/>
            </c:ext>
          </c:extLst>
        </c:ser>
        <c:dLbls>
          <c:showLegendKey val="0"/>
          <c:showVal val="0"/>
          <c:showCatName val="0"/>
          <c:showSerName val="0"/>
          <c:showPercent val="0"/>
          <c:showBubbleSize val="0"/>
        </c:dLbls>
        <c:axId val="264865664"/>
        <c:axId val="264880512"/>
      </c:scatterChart>
      <c:valAx>
        <c:axId val="264865664"/>
        <c:scaling>
          <c:orientation val="minMax"/>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i="1"/>
                  <a:t>CSR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General"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880512"/>
        <c:crosses val="autoZero"/>
        <c:crossBetween val="midCat"/>
      </c:valAx>
      <c:valAx>
        <c:axId val="264880512"/>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4865664"/>
        <c:crosses val="autoZero"/>
        <c:crossBetween val="midCat"/>
      </c:valAx>
      <c:spPr>
        <a:noFill/>
        <a:ln>
          <a:noFill/>
        </a:ln>
        <a:effectLst/>
      </c:spPr>
    </c:plotArea>
    <c:legend>
      <c:legendPos val="b"/>
      <c:layout>
        <c:manualLayout>
          <c:xMode val="edge"/>
          <c:yMode val="edge"/>
          <c:x val="2.1052643211848715E-2"/>
          <c:y val="0.82134337555631631"/>
          <c:w val="0.97894723483443502"/>
          <c:h val="0.1542159838715812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583298798176544"/>
          <c:y val="0.19963443165211675"/>
          <c:w val="0.70833402403646906"/>
          <c:h val="0.61453367799812209"/>
        </c:manualLayout>
      </c:layout>
      <c:scatterChart>
        <c:scatterStyle val="lineMarker"/>
        <c:varyColors val="0"/>
        <c:ser>
          <c:idx val="0"/>
          <c:order val="0"/>
          <c:tx>
            <c:v>S(I&amp;Y)</c:v>
          </c:tx>
          <c:spPr>
            <a:ln w="3175" cap="rnd">
              <a:solidFill>
                <a:schemeClr val="tx1"/>
              </a:solidFill>
              <a:prstDash val="sysDash"/>
              <a:round/>
            </a:ln>
            <a:effectLst/>
          </c:spPr>
          <c:marker>
            <c:symbol val="none"/>
          </c:marker>
          <c:xVal>
            <c:numRef>
              <c:f>'Final Summary'!$O$26:$O$45</c:f>
              <c:numCache>
                <c:formatCode>0.00</c:formatCode>
                <c:ptCount val="20"/>
                <c:pt idx="0">
                  <c:v>16.277305971866863</c:v>
                </c:pt>
                <c:pt idx="1">
                  <c:v>16.277305971866863</c:v>
                </c:pt>
                <c:pt idx="2">
                  <c:v>12.157289531771442</c:v>
                </c:pt>
                <c:pt idx="3">
                  <c:v>8.9436638958629757</c:v>
                </c:pt>
                <c:pt idx="4">
                  <c:v>8.9436638958629757</c:v>
                </c:pt>
                <c:pt idx="5">
                  <c:v>7.0901023156942484</c:v>
                </c:pt>
                <c:pt idx="6">
                  <c:v>7.0901023156942484</c:v>
                </c:pt>
                <c:pt idx="7">
                  <c:v>5.6686338423258835</c:v>
                </c:pt>
                <c:pt idx="8">
                  <c:v>4.3024633872849156</c:v>
                </c:pt>
                <c:pt idx="9">
                  <c:v>4.3024633872849156</c:v>
                </c:pt>
                <c:pt idx="10">
                  <c:v>1.4594910027926975</c:v>
                </c:pt>
                <c:pt idx="11">
                  <c:v>0.45487734387050432</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F460-44A5-9D62-E49E7EAEF747}"/>
            </c:ext>
          </c:extLst>
        </c:ser>
        <c:ser>
          <c:idx val="1"/>
          <c:order val="1"/>
          <c:tx>
            <c:v>S(Cet)</c:v>
          </c:tx>
          <c:spPr>
            <a:ln w="3175" cap="rnd">
              <a:solidFill>
                <a:schemeClr val="tx1"/>
              </a:solidFill>
              <a:round/>
            </a:ln>
            <a:effectLst/>
          </c:spPr>
          <c:marker>
            <c:symbol val="none"/>
          </c:marker>
          <c:xVal>
            <c:numRef>
              <c:f>'Final Summary'!$T$26:$T$45</c:f>
              <c:numCache>
                <c:formatCode>0.00</c:formatCode>
                <c:ptCount val="20"/>
                <c:pt idx="0">
                  <c:v>16.936606037436931</c:v>
                </c:pt>
                <c:pt idx="1">
                  <c:v>16.199166662370263</c:v>
                </c:pt>
                <c:pt idx="2">
                  <c:v>12.068266841666206</c:v>
                </c:pt>
                <c:pt idx="3">
                  <c:v>8.7697142561281183</c:v>
                </c:pt>
                <c:pt idx="4">
                  <c:v>8.7697142561281183</c:v>
                </c:pt>
                <c:pt idx="5">
                  <c:v>6.3247629613227909</c:v>
                </c:pt>
                <c:pt idx="6">
                  <c:v>5.6842877773395797</c:v>
                </c:pt>
                <c:pt idx="7">
                  <c:v>3.7703095798413702</c:v>
                </c:pt>
                <c:pt idx="8">
                  <c:v>2.5314924169812505</c:v>
                </c:pt>
                <c:pt idx="9">
                  <c:v>2.5314924169812505</c:v>
                </c:pt>
                <c:pt idx="10">
                  <c:v>1.0906612342889093</c:v>
                </c:pt>
                <c:pt idx="11">
                  <c:v>0.24462612610704398</c:v>
                </c:pt>
                <c:pt idx="12">
                  <c:v>#N/A</c:v>
                </c:pt>
                <c:pt idx="13">
                  <c:v>#N/A</c:v>
                </c:pt>
                <c:pt idx="14">
                  <c:v>#N/A</c:v>
                </c:pt>
                <c:pt idx="15">
                  <c:v>#N/A</c:v>
                </c:pt>
                <c:pt idx="16">
                  <c:v>#N/A</c:v>
                </c:pt>
                <c:pt idx="17">
                  <c:v>#N/A</c:v>
                </c:pt>
                <c:pt idx="18">
                  <c:v>#N/A</c:v>
                </c:pt>
                <c:pt idx="19">
                  <c:v>#N/A</c:v>
                </c:pt>
              </c:numCache>
            </c:numRef>
          </c:xVal>
          <c:yVal>
            <c:numRef>
              <c:f>'Final Summary'!$J$26:$J$45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F460-44A5-9D62-E49E7EAEF747}"/>
            </c:ext>
          </c:extLst>
        </c:ser>
        <c:ser>
          <c:idx val="2"/>
          <c:order val="2"/>
          <c:tx>
            <c:v>Scale</c:v>
          </c:tx>
          <c:spPr>
            <a:ln>
              <a:noFill/>
            </a:ln>
          </c:spPr>
          <c:marker>
            <c:symbol val="none"/>
          </c:marker>
          <c:xVal>
            <c:numRef>
              <c:f>_Hidden!$F$6:$F$45</c:f>
              <c:numCache>
                <c:formatCode>0.00</c:formatCode>
                <c:ptCount val="40"/>
                <c:pt idx="0">
                  <c:v>33.874185446686866</c:v>
                </c:pt>
                <c:pt idx="1">
                  <c:v>33.874185446686866</c:v>
                </c:pt>
                <c:pt idx="2">
                  <c:v>11.900438780020192</c:v>
                </c:pt>
                <c:pt idx="3">
                  <c:v>11.900438780020192</c:v>
                </c:pt>
                <c:pt idx="4">
                  <c:v>13.693403668256009</c:v>
                </c:pt>
                <c:pt idx="5">
                  <c:v>13.693403668256009</c:v>
                </c:pt>
                <c:pt idx="6">
                  <c:v>7.5891695726420965</c:v>
                </c:pt>
                <c:pt idx="7">
                  <c:v>7.5891695726420965</c:v>
                </c:pt>
                <c:pt idx="8">
                  <c:v>21.708473911296679</c:v>
                </c:pt>
                <c:pt idx="9">
                  <c:v>21.708473911296679</c:v>
                </c:pt>
                <c:pt idx="10">
                  <c:v>29.14039966028972</c:v>
                </c:pt>
                <c:pt idx="11">
                  <c:v>29.14039966028972</c:v>
                </c:pt>
                <c:pt idx="12">
                  <c:v>21.337630575889257</c:v>
                </c:pt>
                <c:pt idx="13">
                  <c:v>21.337630575889257</c:v>
                </c:pt>
                <c:pt idx="14">
                  <c:v>9.4876390112066709</c:v>
                </c:pt>
                <c:pt idx="15">
                  <c:v>9.4876390112066709</c:v>
                </c:pt>
                <c:pt idx="16">
                  <c:v>7.3030476983682764</c:v>
                </c:pt>
                <c:pt idx="17">
                  <c:v>7.3030476983682764</c:v>
                </c:pt>
                <c:pt idx="18">
                  <c:v>1.6327566637818389</c:v>
                </c:pt>
                <c:pt idx="19">
                  <c:v>1.6327566637818389</c:v>
                </c:pt>
                <c:pt idx="20">
                  <c:v>9.6599215676559655</c:v>
                </c:pt>
                <c:pt idx="21">
                  <c:v>9.6599215676559655</c:v>
                </c:pt>
                <c:pt idx="22">
                  <c:v>2.3758590121854533</c:v>
                </c:pt>
                <c:pt idx="23">
                  <c:v>2.3758590121854533</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xVal>
          <c:yVal>
            <c:numRef>
              <c:f>_Hidden!$E$6:$E$45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59</c:v>
                </c:pt>
                <c:pt idx="26">
                  <c:v>59</c:v>
                </c:pt>
                <c:pt idx="27">
                  <c:v>59</c:v>
                </c:pt>
                <c:pt idx="28">
                  <c:v>59</c:v>
                </c:pt>
                <c:pt idx="29">
                  <c:v>59</c:v>
                </c:pt>
                <c:pt idx="30">
                  <c:v>59</c:v>
                </c:pt>
                <c:pt idx="31">
                  <c:v>59</c:v>
                </c:pt>
                <c:pt idx="32">
                  <c:v>59</c:v>
                </c:pt>
                <c:pt idx="33">
                  <c:v>59</c:v>
                </c:pt>
                <c:pt idx="34">
                  <c:v>59</c:v>
                </c:pt>
                <c:pt idx="35">
                  <c:v>59</c:v>
                </c:pt>
                <c:pt idx="36">
                  <c:v>59</c:v>
                </c:pt>
                <c:pt idx="37">
                  <c:v>59</c:v>
                </c:pt>
                <c:pt idx="38">
                  <c:v>59</c:v>
                </c:pt>
                <c:pt idx="39">
                  <c:v>59</c:v>
                </c:pt>
              </c:numCache>
            </c:numRef>
          </c:yVal>
          <c:smooth val="0"/>
          <c:extLst>
            <c:ext xmlns:c16="http://schemas.microsoft.com/office/drawing/2014/chart" uri="{C3380CC4-5D6E-409C-BE32-E72D297353CC}">
              <c16:uniqueId val="{00000000-4B4B-4AA3-9934-A77D7218F740}"/>
            </c:ext>
          </c:extLst>
        </c:ser>
        <c:dLbls>
          <c:showLegendKey val="0"/>
          <c:showVal val="0"/>
          <c:showCatName val="0"/>
          <c:showSerName val="0"/>
          <c:showPercent val="0"/>
          <c:showBubbleSize val="0"/>
        </c:dLbls>
        <c:axId val="264976640"/>
        <c:axId val="264987008"/>
      </c:scatterChart>
      <c:valAx>
        <c:axId val="264976640"/>
        <c:scaling>
          <c:orientation val="minMax"/>
          <c:min val="0"/>
        </c:scaling>
        <c:delete val="0"/>
        <c:axPos val="t"/>
        <c:majorGridlines>
          <c:spPr>
            <a:ln w="9525" cap="flat" cmpd="sng" algn="ctr">
              <a:solidFill>
                <a:schemeClr val="tx1">
                  <a:lumMod val="15000"/>
                  <a:lumOff val="85000"/>
                </a:schemeClr>
              </a:solidFill>
              <a:round/>
            </a:ln>
            <a:effectLst/>
          </c:spPr>
        </c:majorGridlines>
        <c:title>
          <c:tx>
            <c:strRef>
              <c:f>_Hidden!$A$38</c:f>
              <c:strCache>
                <c:ptCount val="1"/>
                <c:pt idx="0">
                  <c:v>Cumulative Settlement [in]</c:v>
                </c:pt>
              </c:strCache>
            </c:strRef>
          </c:tx>
          <c:overlay val="0"/>
          <c:spPr>
            <a:noFill/>
            <a:ln>
              <a:noFill/>
            </a:ln>
            <a:effectLst/>
          </c:spPr>
          <c:txPr>
            <a:bodyPr rot="0" spcFirstLastPara="1" vertOverflow="ellipsis" vert="horz" wrap="square" anchor="t" anchorCtr="0"/>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4987008"/>
        <c:crosses val="autoZero"/>
        <c:crossBetween val="midCat"/>
      </c:valAx>
      <c:valAx>
        <c:axId val="264987008"/>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4976640"/>
        <c:crosses val="autoZero"/>
        <c:crossBetween val="midCat"/>
      </c:valAx>
      <c:spPr>
        <a:noFill/>
        <a:ln>
          <a:solidFill>
            <a:schemeClr val="bg1">
              <a:lumMod val="85000"/>
            </a:schemeClr>
          </a:solidFill>
        </a:ln>
        <a:effectLst/>
      </c:spPr>
    </c:plotArea>
    <c:legend>
      <c:legendPos val="b"/>
      <c:legendEntry>
        <c:idx val="2"/>
        <c:delete val="1"/>
      </c:legendEntry>
      <c:layout>
        <c:manualLayout>
          <c:xMode val="edge"/>
          <c:yMode val="edge"/>
          <c:x val="0.1223435084313091"/>
          <c:y val="0.83820152915668134"/>
          <c:w val="0.73050372128141516"/>
          <c:h val="0.1473841653850570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no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5763772748466246"/>
          <c:y val="0.13547476130701053"/>
          <c:w val="0.63665077742893261"/>
          <c:h val="0.66403986458214459"/>
        </c:manualLayout>
      </c:layout>
      <c:scatterChart>
        <c:scatterStyle val="lineMarker"/>
        <c:varyColors val="0"/>
        <c:ser>
          <c:idx val="0"/>
          <c:order val="0"/>
          <c:tx>
            <c:v>Nsite (I&amp;B)</c:v>
          </c:tx>
          <c:spPr>
            <a:ln w="19050" cap="rnd">
              <a:solidFill>
                <a:schemeClr val="tx1"/>
              </a:solidFill>
              <a:round/>
            </a:ln>
            <a:effectLst/>
          </c:spPr>
          <c:marker>
            <c:symbol val="none"/>
          </c:marker>
          <c:xVal>
            <c:numRef>
              <c:f>_Hidden!$X$6:$X$45</c:f>
              <c:numCache>
                <c:formatCode>0.00</c:formatCode>
                <c:ptCount val="40"/>
                <c:pt idx="0">
                  <c:v>33.874185446686866</c:v>
                </c:pt>
                <c:pt idx="1">
                  <c:v>33.874185446686866</c:v>
                </c:pt>
                <c:pt idx="2">
                  <c:v>11.900438780020192</c:v>
                </c:pt>
                <c:pt idx="3">
                  <c:v>11.900438780020192</c:v>
                </c:pt>
                <c:pt idx="4">
                  <c:v>13.693403668256009</c:v>
                </c:pt>
                <c:pt idx="5">
                  <c:v>13.693403668256009</c:v>
                </c:pt>
                <c:pt idx="6">
                  <c:v>7.5891695726420965</c:v>
                </c:pt>
                <c:pt idx="7">
                  <c:v>7.5891695726420965</c:v>
                </c:pt>
                <c:pt idx="8">
                  <c:v>21.708473911296679</c:v>
                </c:pt>
                <c:pt idx="9">
                  <c:v>21.708473911296679</c:v>
                </c:pt>
                <c:pt idx="10">
                  <c:v>29.14039966028972</c:v>
                </c:pt>
                <c:pt idx="11">
                  <c:v>29.14039966028972</c:v>
                </c:pt>
                <c:pt idx="12">
                  <c:v>21.337630575889257</c:v>
                </c:pt>
                <c:pt idx="13">
                  <c:v>21.337630575889257</c:v>
                </c:pt>
                <c:pt idx="14">
                  <c:v>9.4876390112066709</c:v>
                </c:pt>
                <c:pt idx="15">
                  <c:v>9.4876390112066709</c:v>
                </c:pt>
                <c:pt idx="16">
                  <c:v>7.3030476983682764</c:v>
                </c:pt>
                <c:pt idx="17">
                  <c:v>7.3030476983682764</c:v>
                </c:pt>
                <c:pt idx="18">
                  <c:v>1.6327566637818389</c:v>
                </c:pt>
                <c:pt idx="19">
                  <c:v>1.6327566637818389</c:v>
                </c:pt>
                <c:pt idx="20">
                  <c:v>9.6599215676559655</c:v>
                </c:pt>
                <c:pt idx="21">
                  <c:v>9.6599215676559655</c:v>
                </c:pt>
                <c:pt idx="22">
                  <c:v>2.3758590121854533</c:v>
                </c:pt>
                <c:pt idx="23">
                  <c:v>2.3758590121854533</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xVal>
          <c:yVal>
            <c:numRef>
              <c:f>_Hidden!$W$6:$W$45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yVal>
          <c:smooth val="0"/>
          <c:extLst>
            <c:ext xmlns:c16="http://schemas.microsoft.com/office/drawing/2014/chart" uri="{C3380CC4-5D6E-409C-BE32-E72D297353CC}">
              <c16:uniqueId val="{00000000-E13F-496F-988B-5F2068A61F13}"/>
            </c:ext>
          </c:extLst>
        </c:ser>
        <c:ser>
          <c:idx val="1"/>
          <c:order val="1"/>
          <c:tx>
            <c:v>Nreq (I&amp;B)</c:v>
          </c:tx>
          <c:spPr>
            <a:ln w="19050" cap="rnd">
              <a:noFill/>
              <a:round/>
            </a:ln>
            <a:effectLst/>
          </c:spPr>
          <c:marker>
            <c:symbol val="square"/>
            <c:size val="6"/>
            <c:spPr>
              <a:solidFill>
                <a:schemeClr val="bg1"/>
              </a:solidFill>
              <a:ln w="9525">
                <a:solidFill>
                  <a:schemeClr val="tx1"/>
                </a:solidFill>
              </a:ln>
              <a:effectLst/>
            </c:spPr>
          </c:marker>
          <c:xVal>
            <c:numRef>
              <c:f>'Final Summary'!$W$26:$W$45</c:f>
              <c:numCache>
                <c:formatCode>0.00</c:formatCode>
                <c:ptCount val="20"/>
                <c:pt idx="0">
                  <c:v>30.872833251953125</c:v>
                </c:pt>
                <c:pt idx="1">
                  <c:v>34.456560134887695</c:v>
                </c:pt>
                <c:pt idx="2">
                  <c:v>34.541889190673828</c:v>
                </c:pt>
                <c:pt idx="3">
                  <c:v>#N/A</c:v>
                </c:pt>
                <c:pt idx="4">
                  <c:v>34.183750152587891</c:v>
                </c:pt>
                <c:pt idx="5">
                  <c:v>33.668972015380859</c:v>
                </c:pt>
                <c:pt idx="6">
                  <c:v>34.15599250793457</c:v>
                </c:pt>
                <c:pt idx="7">
                  <c:v>34.513477325439453</c:v>
                </c:pt>
                <c:pt idx="8">
                  <c:v>#N/A</c:v>
                </c:pt>
                <c:pt idx="9">
                  <c:v>34.336931228637695</c:v>
                </c:pt>
                <c:pt idx="10">
                  <c:v>34.066644668579102</c:v>
                </c:pt>
                <c:pt idx="11">
                  <c:v>33.938884735107422</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E13F-496F-988B-5F2068A61F13}"/>
            </c:ext>
          </c:extLst>
        </c:ser>
        <c:ser>
          <c:idx val="2"/>
          <c:order val="2"/>
          <c:tx>
            <c:v>Nsite(Cet)</c:v>
          </c:tx>
          <c:spPr>
            <a:ln w="19050" cap="rnd">
              <a:solidFill>
                <a:schemeClr val="tx1"/>
              </a:solidFill>
              <a:prstDash val="sysDash"/>
              <a:round/>
            </a:ln>
            <a:effectLst/>
          </c:spPr>
          <c:marker>
            <c:symbol val="none"/>
          </c:marker>
          <c:xVal>
            <c:numRef>
              <c:f>_Hidden!$AD$6:$AD$45</c:f>
              <c:numCache>
                <c:formatCode>0.00</c:formatCode>
                <c:ptCount val="40"/>
                <c:pt idx="0">
                  <c:v>32.632000000000005</c:v>
                </c:pt>
                <c:pt idx="1">
                  <c:v>32.632000000000005</c:v>
                </c:pt>
                <c:pt idx="2">
                  <c:v>10.621491593382261</c:v>
                </c:pt>
                <c:pt idx="3">
                  <c:v>10.621491593382261</c:v>
                </c:pt>
                <c:pt idx="4">
                  <c:v>13.32533678800505</c:v>
                </c:pt>
                <c:pt idx="5">
                  <c:v>13.32533678800505</c:v>
                </c:pt>
                <c:pt idx="6">
                  <c:v>4.0320252341104634</c:v>
                </c:pt>
                <c:pt idx="7">
                  <c:v>4.0320252341104634</c:v>
                </c:pt>
                <c:pt idx="8">
                  <c:v>22.247219944730496</c:v>
                </c:pt>
                <c:pt idx="9">
                  <c:v>22.247219944730496</c:v>
                </c:pt>
                <c:pt idx="10">
                  <c:v>30.426482551232123</c:v>
                </c:pt>
                <c:pt idx="11">
                  <c:v>30.426482551232123</c:v>
                </c:pt>
                <c:pt idx="12">
                  <c:v>20.884133717749325</c:v>
                </c:pt>
                <c:pt idx="13">
                  <c:v>20.884133717749325</c:v>
                </c:pt>
                <c:pt idx="14">
                  <c:v>9.1514758932516074</c:v>
                </c:pt>
                <c:pt idx="15">
                  <c:v>9.1514758932516074</c:v>
                </c:pt>
                <c:pt idx="16">
                  <c:v>4.144728715335928</c:v>
                </c:pt>
                <c:pt idx="17">
                  <c:v>4.144728715335928</c:v>
                </c:pt>
                <c:pt idx="18">
                  <c:v>2.0632593460236448</c:v>
                </c:pt>
                <c:pt idx="19">
                  <c:v>2.0632593460236448</c:v>
                </c:pt>
                <c:pt idx="20">
                  <c:v>10.322847584760181</c:v>
                </c:pt>
                <c:pt idx="21">
                  <c:v>10.322847584760181</c:v>
                </c:pt>
                <c:pt idx="22">
                  <c:v>2.9720420997108414</c:v>
                </c:pt>
                <c:pt idx="23">
                  <c:v>2.9720420997108414</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xVal>
          <c:yVal>
            <c:numRef>
              <c:f>_Hidden!$W$6:$W$45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yVal>
          <c:smooth val="0"/>
          <c:extLst>
            <c:ext xmlns:c16="http://schemas.microsoft.com/office/drawing/2014/chart" uri="{C3380CC4-5D6E-409C-BE32-E72D297353CC}">
              <c16:uniqueId val="{00000002-E13F-496F-988B-5F2068A61F13}"/>
            </c:ext>
          </c:extLst>
        </c:ser>
        <c:ser>
          <c:idx val="3"/>
          <c:order val="3"/>
          <c:tx>
            <c:v>Nreq (Cet)</c:v>
          </c:tx>
          <c:spPr>
            <a:ln w="19050" cap="rnd">
              <a:noFill/>
              <a:round/>
            </a:ln>
            <a:effectLst/>
          </c:spPr>
          <c:marker>
            <c:symbol val="triangle"/>
            <c:size val="6"/>
            <c:spPr>
              <a:solidFill>
                <a:schemeClr val="bg1"/>
              </a:solidFill>
              <a:ln w="9525">
                <a:solidFill>
                  <a:schemeClr val="tx1"/>
                </a:solidFill>
              </a:ln>
              <a:effectLst/>
            </c:spPr>
          </c:marker>
          <c:xVal>
            <c:numRef>
              <c:f>'Final Summary'!$AB$26:$AB$45</c:f>
              <c:numCache>
                <c:formatCode>0.00</c:formatCode>
                <c:ptCount val="20"/>
                <c:pt idx="0">
                  <c:v>32.02838398000322</c:v>
                </c:pt>
                <c:pt idx="1">
                  <c:v>36.955805633264397</c:v>
                </c:pt>
                <c:pt idx="2">
                  <c:v>39.374718423613992</c:v>
                </c:pt>
                <c:pt idx="3">
                  <c:v>#N/A</c:v>
                </c:pt>
                <c:pt idx="4">
                  <c:v>41.802703817817168</c:v>
                </c:pt>
                <c:pt idx="5">
                  <c:v>42.55745264001893</c:v>
                </c:pt>
                <c:pt idx="6">
                  <c:v>43.150591476199544</c:v>
                </c:pt>
                <c:pt idx="7">
                  <c:v>43.626351273603085</c:v>
                </c:pt>
                <c:pt idx="8">
                  <c:v>#N/A</c:v>
                </c:pt>
                <c:pt idx="9">
                  <c:v>44.292057499753916</c:v>
                </c:pt>
                <c:pt idx="10">
                  <c:v>44.606581970585999</c:v>
                </c:pt>
                <c:pt idx="11">
                  <c:v>44.798084490646112</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3-E13F-496F-988B-5F2068A61F13}"/>
            </c:ext>
          </c:extLst>
        </c:ser>
        <c:dLbls>
          <c:showLegendKey val="0"/>
          <c:showVal val="0"/>
          <c:showCatName val="0"/>
          <c:showSerName val="0"/>
          <c:showPercent val="0"/>
          <c:showBubbleSize val="0"/>
        </c:dLbls>
        <c:axId val="265379200"/>
        <c:axId val="265389952"/>
      </c:scatterChart>
      <c:valAx>
        <c:axId val="265379200"/>
        <c:scaling>
          <c:orientation val="minMax"/>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Times New Roman" panose="02020603050405020304" pitchFamily="18" charset="0"/>
                    <a:ea typeface="+mn-ea"/>
                    <a:cs typeface="Times New Roman" panose="02020603050405020304" pitchFamily="18" charset="0"/>
                  </a:defRPr>
                </a:pPr>
                <a:r>
                  <a:rPr lang="en-US" sz="1000" b="0" i="0" baseline="0">
                    <a:effectLst/>
                  </a:rPr>
                  <a:t>(</a:t>
                </a:r>
                <a:r>
                  <a:rPr lang="en-US" sz="1000" b="0" i="1" baseline="0">
                    <a:effectLst/>
                  </a:rPr>
                  <a:t>N</a:t>
                </a:r>
                <a:r>
                  <a:rPr lang="en-US" sz="1000" b="0" i="0" baseline="-25000">
                    <a:effectLst/>
                  </a:rPr>
                  <a:t>1</a:t>
                </a:r>
                <a:r>
                  <a:rPr lang="en-US" sz="1000" b="0" i="0" baseline="0">
                    <a:effectLst/>
                  </a:rPr>
                  <a:t>)</a:t>
                </a:r>
                <a:r>
                  <a:rPr lang="en-US" sz="1000" b="0" i="0" baseline="-25000">
                    <a:effectLst/>
                  </a:rPr>
                  <a:t>60,cs</a:t>
                </a:r>
                <a:endParaRPr lang="en-US" sz="1000">
                  <a:effectLst/>
                </a:endParaRPr>
              </a:p>
            </c:rich>
          </c:tx>
          <c:overlay val="0"/>
          <c:spPr>
            <a:noFill/>
            <a:ln>
              <a:noFill/>
            </a:ln>
            <a:effectLst/>
          </c:spPr>
          <c:txPr>
            <a:bodyPr rot="0" spcFirstLastPara="1" vertOverflow="ellipsis" vert="horz" wrap="square" anchor="ctr" anchorCtr="1"/>
            <a:lstStyle/>
            <a:p>
              <a:pPr marL="0" marR="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Times New Roman" panose="02020603050405020304" pitchFamily="18" charset="0"/>
                  <a:ea typeface="+mn-ea"/>
                  <a:cs typeface="Times New Roman" panose="02020603050405020304" pitchFamily="18" charset="0"/>
                </a:defRPr>
              </a:pPr>
              <a:endParaRPr lang="en-US"/>
            </a:p>
          </c:txPr>
        </c:title>
        <c:numFmt formatCode="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5389952"/>
        <c:crosses val="autoZero"/>
        <c:crossBetween val="midCat"/>
        <c:majorUnit val="10"/>
      </c:valAx>
      <c:valAx>
        <c:axId val="265389952"/>
        <c:scaling>
          <c:orientation val="maxMin"/>
        </c:scaling>
        <c:delete val="0"/>
        <c:axPos val="l"/>
        <c:majorGridlines>
          <c:spPr>
            <a:ln w="9525" cap="flat" cmpd="sng" algn="ctr">
              <a:solidFill>
                <a:schemeClr val="tx1">
                  <a:lumMod val="15000"/>
                  <a:lumOff val="85000"/>
                </a:schemeClr>
              </a:solidFill>
              <a:round/>
            </a:ln>
            <a:effectLst/>
          </c:spPr>
        </c:majorGridlines>
        <c:title>
          <c:tx>
            <c:strRef>
              <c:f>_Hidden!$A$41</c:f>
              <c:strCache>
                <c:ptCount val="1"/>
                <c:pt idx="0">
                  <c:v>Depth [ft]</c:v>
                </c:pt>
              </c:strCache>
            </c:strRef>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5379200"/>
        <c:crosses val="autoZero"/>
        <c:crossBetween val="midCat"/>
      </c:valAx>
      <c:spPr>
        <a:noFill/>
        <a:ln>
          <a:noFill/>
        </a:ln>
        <a:effectLst/>
      </c:spPr>
    </c:plotArea>
    <c:legend>
      <c:legendPos val="b"/>
      <c:layout>
        <c:manualLayout>
          <c:xMode val="edge"/>
          <c:yMode val="edge"/>
          <c:x val="4.7391761512841704E-3"/>
          <c:y val="0.84041629578911337"/>
          <c:w val="0.94278028803450675"/>
          <c:h val="0.1358941001939974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2666644269452881"/>
          <c:y val="0.13161002700749364"/>
          <c:w val="0.74666711461094237"/>
          <c:h val="0.66378941762714438"/>
        </c:manualLayout>
      </c:layout>
      <c:scatterChart>
        <c:scatterStyle val="lineMarker"/>
        <c:varyColors val="0"/>
        <c:ser>
          <c:idx val="1"/>
          <c:order val="0"/>
          <c:tx>
            <c:v>CRR(I&amp;B)</c:v>
          </c:tx>
          <c:spPr>
            <a:ln w="19050" cap="rnd">
              <a:solidFill>
                <a:schemeClr val="tx1"/>
              </a:solidFill>
              <a:round/>
            </a:ln>
            <a:effectLst/>
          </c:spPr>
          <c:marker>
            <c:symbol val="none"/>
          </c:marker>
          <c:xVal>
            <c:numRef>
              <c:f>_Hidden!$AB$6:$AB$45</c:f>
              <c:numCache>
                <c:formatCode>0.00</c:formatCode>
                <c:ptCount val="40"/>
                <c:pt idx="0" formatCode="General">
                  <c:v>0.76751784001212797</c:v>
                </c:pt>
                <c:pt idx="1">
                  <c:v>0.76751784001212797</c:v>
                </c:pt>
                <c:pt idx="2" formatCode="General">
                  <c:v>0.11388395869028091</c:v>
                </c:pt>
                <c:pt idx="3">
                  <c:v>0.11388395869028091</c:v>
                </c:pt>
                <c:pt idx="4" formatCode="General">
                  <c:v>0.12576223947958012</c:v>
                </c:pt>
                <c:pt idx="5">
                  <c:v>0.12576223947958012</c:v>
                </c:pt>
                <c:pt idx="6" formatCode="General">
                  <c:v>8.8135265298010565E-2</c:v>
                </c:pt>
                <c:pt idx="7">
                  <c:v>8.8135265298010565E-2</c:v>
                </c:pt>
                <c:pt idx="8" formatCode="General">
                  <c:v>0.19771613422431597</c:v>
                </c:pt>
                <c:pt idx="9">
                  <c:v>0.19771613422431597</c:v>
                </c:pt>
                <c:pt idx="10" formatCode="General">
                  <c:v>0.37702115698943778</c:v>
                </c:pt>
                <c:pt idx="11">
                  <c:v>0.37702115698943778</c:v>
                </c:pt>
                <c:pt idx="12" formatCode="General">
                  <c:v>0.19309849493023551</c:v>
                </c:pt>
                <c:pt idx="13">
                  <c:v>0.19309849493023551</c:v>
                </c:pt>
                <c:pt idx="14" formatCode="General">
                  <c:v>9.9021367248716616E-2</c:v>
                </c:pt>
                <c:pt idx="15">
                  <c:v>9.9021367248716616E-2</c:v>
                </c:pt>
                <c:pt idx="16" formatCode="General">
                  <c:v>8.6556517762789179E-2</c:v>
                </c:pt>
                <c:pt idx="17">
                  <c:v>8.6556517762789179E-2</c:v>
                </c:pt>
                <c:pt idx="18" formatCode="General">
                  <c:v>5.902391093603223E-2</c:v>
                </c:pt>
                <c:pt idx="19">
                  <c:v>5.902391093603223E-2</c:v>
                </c:pt>
                <c:pt idx="20" formatCode="General">
                  <c:v>0.1000440759527092</c:v>
                </c:pt>
                <c:pt idx="21">
                  <c:v>0.1000440759527092</c:v>
                </c:pt>
                <c:pt idx="22" formatCode="General">
                  <c:v>6.2190539434566962E-2</c:v>
                </c:pt>
                <c:pt idx="23">
                  <c:v>6.2190539434566962E-2</c:v>
                </c:pt>
                <c:pt idx="24" formatCode="General">
                  <c:v>#N/A</c:v>
                </c:pt>
                <c:pt idx="25">
                  <c:v>#N/A</c:v>
                </c:pt>
                <c:pt idx="26" formatCode="General">
                  <c:v>#N/A</c:v>
                </c:pt>
                <c:pt idx="27">
                  <c:v>#N/A</c:v>
                </c:pt>
                <c:pt idx="28" formatCode="General">
                  <c:v>#N/A</c:v>
                </c:pt>
                <c:pt idx="29">
                  <c:v>#N/A</c:v>
                </c:pt>
                <c:pt idx="30" formatCode="General">
                  <c:v>#N/A</c:v>
                </c:pt>
                <c:pt idx="31">
                  <c:v>#N/A</c:v>
                </c:pt>
                <c:pt idx="32" formatCode="General">
                  <c:v>#N/A</c:v>
                </c:pt>
                <c:pt idx="33">
                  <c:v>#N/A</c:v>
                </c:pt>
                <c:pt idx="34" formatCode="General">
                  <c:v>#N/A</c:v>
                </c:pt>
                <c:pt idx="35">
                  <c:v>#N/A</c:v>
                </c:pt>
                <c:pt idx="36" formatCode="General">
                  <c:v>#N/A</c:v>
                </c:pt>
                <c:pt idx="37">
                  <c:v>#N/A</c:v>
                </c:pt>
                <c:pt idx="38" formatCode="General">
                  <c:v>#N/A</c:v>
                </c:pt>
                <c:pt idx="39">
                  <c:v>#N/A</c:v>
                </c:pt>
              </c:numCache>
            </c:numRef>
          </c:xVal>
          <c:yVal>
            <c:numRef>
              <c:f>_Hidden!$W$6:$W$45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yVal>
          <c:smooth val="0"/>
          <c:extLst>
            <c:ext xmlns:c16="http://schemas.microsoft.com/office/drawing/2014/chart" uri="{C3380CC4-5D6E-409C-BE32-E72D297353CC}">
              <c16:uniqueId val="{00000000-ACD5-404B-9B05-12698BEA8F4D}"/>
            </c:ext>
          </c:extLst>
        </c:ser>
        <c:ser>
          <c:idx val="0"/>
          <c:order val="1"/>
          <c:tx>
            <c:v>CSR(I&amp;B)</c:v>
          </c:tx>
          <c:spPr>
            <a:ln w="19050" cap="rnd">
              <a:noFill/>
              <a:round/>
            </a:ln>
            <a:effectLst/>
          </c:spPr>
          <c:marker>
            <c:symbol val="square"/>
            <c:size val="6"/>
            <c:spPr>
              <a:solidFill>
                <a:schemeClr val="bg1"/>
              </a:solidFill>
              <a:ln w="9525">
                <a:solidFill>
                  <a:schemeClr val="tx1"/>
                </a:solidFill>
              </a:ln>
              <a:effectLst/>
            </c:spPr>
          </c:marker>
          <c:xVal>
            <c:numRef>
              <c:f>'Final Summary'!$X$26:$X$45</c:f>
              <c:numCache>
                <c:formatCode>0.0000</c:formatCode>
                <c:ptCount val="20"/>
                <c:pt idx="0">
                  <c:v>0.41396383811397325</c:v>
                </c:pt>
                <c:pt idx="1">
                  <c:v>0.75372797671486647</c:v>
                </c:pt>
                <c:pt idx="2">
                  <c:v>0.76658707737983955</c:v>
                </c:pt>
                <c:pt idx="3">
                  <c:v>#N/A</c:v>
                </c:pt>
                <c:pt idx="4">
                  <c:v>0.71468998628801128</c:v>
                </c:pt>
                <c:pt idx="5">
                  <c:v>0.64883549021389109</c:v>
                </c:pt>
                <c:pt idx="6">
                  <c:v>0.71089441090745842</c:v>
                </c:pt>
                <c:pt idx="7">
                  <c:v>0.76226618833284232</c:v>
                </c:pt>
                <c:pt idx="8">
                  <c:v>#N/A</c:v>
                </c:pt>
                <c:pt idx="9">
                  <c:v>0.73623162212844251</c:v>
                </c:pt>
                <c:pt idx="10">
                  <c:v>0.69886017471582129</c:v>
                </c:pt>
                <c:pt idx="11">
                  <c:v>0.68217702333422126</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ACD5-404B-9B05-12698BEA8F4D}"/>
            </c:ext>
          </c:extLst>
        </c:ser>
        <c:ser>
          <c:idx val="3"/>
          <c:order val="2"/>
          <c:tx>
            <c:v>CRR(Cet)</c:v>
          </c:tx>
          <c:spPr>
            <a:ln w="19050" cap="rnd">
              <a:solidFill>
                <a:schemeClr val="tx1"/>
              </a:solidFill>
              <a:prstDash val="sysDash"/>
              <a:round/>
            </a:ln>
            <a:effectLst/>
          </c:spPr>
          <c:marker>
            <c:symbol val="none"/>
          </c:marker>
          <c:xVal>
            <c:numRef>
              <c:f>_Hidden!$AH$6:$AH$45</c:f>
              <c:numCache>
                <c:formatCode>0.00</c:formatCode>
                <c:ptCount val="40"/>
                <c:pt idx="0" formatCode="General">
                  <c:v>1.6014790747769236</c:v>
                </c:pt>
                <c:pt idx="1">
                  <c:v>1.6014790747769236</c:v>
                </c:pt>
                <c:pt idx="2" formatCode="General">
                  <c:v>0.22647725317042719</c:v>
                </c:pt>
                <c:pt idx="3">
                  <c:v>0.22647725317042719</c:v>
                </c:pt>
                <c:pt idx="4" formatCode="General">
                  <c:v>0.23034857594564306</c:v>
                </c:pt>
                <c:pt idx="5">
                  <c:v>0.23034857594564306</c:v>
                </c:pt>
                <c:pt idx="6" formatCode="General">
                  <c:v>0.10636468711797432</c:v>
                </c:pt>
                <c:pt idx="7">
                  <c:v>0.10636468711797432</c:v>
                </c:pt>
                <c:pt idx="8" formatCode="General">
                  <c:v>0.36549069257138583</c:v>
                </c:pt>
                <c:pt idx="9">
                  <c:v>0.36549069257138583</c:v>
                </c:pt>
                <c:pt idx="10" formatCode="General">
                  <c:v>0.62260474472120819</c:v>
                </c:pt>
                <c:pt idx="11">
                  <c:v>0.62260474472120819</c:v>
                </c:pt>
                <c:pt idx="12" formatCode="General">
                  <c:v>0.29658602948755869</c:v>
                </c:pt>
                <c:pt idx="13">
                  <c:v>0.29658602948755869</c:v>
                </c:pt>
                <c:pt idx="14" formatCode="General">
                  <c:v>0.12144677064163578</c:v>
                </c:pt>
                <c:pt idx="15">
                  <c:v>0.12144677064163578</c:v>
                </c:pt>
                <c:pt idx="16" formatCode="General">
                  <c:v>8.1166656004397583E-2</c:v>
                </c:pt>
                <c:pt idx="17">
                  <c:v>8.1166656004397583E-2</c:v>
                </c:pt>
                <c:pt idx="18" formatCode="General">
                  <c:v>6.8018303414641948E-2</c:v>
                </c:pt>
                <c:pt idx="19">
                  <c:v>6.8018303414641948E-2</c:v>
                </c:pt>
                <c:pt idx="20" formatCode="General">
                  <c:v>0.11926613620113914</c:v>
                </c:pt>
                <c:pt idx="21">
                  <c:v>0.11926613620113914</c:v>
                </c:pt>
                <c:pt idx="22" formatCode="General">
                  <c:v>6.8046807138142998E-2</c:v>
                </c:pt>
                <c:pt idx="23">
                  <c:v>6.8046807138142998E-2</c:v>
                </c:pt>
                <c:pt idx="24" formatCode="General">
                  <c:v>#N/A</c:v>
                </c:pt>
                <c:pt idx="25">
                  <c:v>#N/A</c:v>
                </c:pt>
                <c:pt idx="26" formatCode="General">
                  <c:v>#N/A</c:v>
                </c:pt>
                <c:pt idx="27">
                  <c:v>#N/A</c:v>
                </c:pt>
                <c:pt idx="28" formatCode="General">
                  <c:v>#N/A</c:v>
                </c:pt>
                <c:pt idx="29">
                  <c:v>#N/A</c:v>
                </c:pt>
                <c:pt idx="30" formatCode="General">
                  <c:v>#N/A</c:v>
                </c:pt>
                <c:pt idx="31">
                  <c:v>#N/A</c:v>
                </c:pt>
                <c:pt idx="32" formatCode="General">
                  <c:v>#N/A</c:v>
                </c:pt>
                <c:pt idx="33">
                  <c:v>#N/A</c:v>
                </c:pt>
                <c:pt idx="34" formatCode="General">
                  <c:v>#N/A</c:v>
                </c:pt>
                <c:pt idx="35">
                  <c:v>#N/A</c:v>
                </c:pt>
                <c:pt idx="36" formatCode="General">
                  <c:v>#N/A</c:v>
                </c:pt>
                <c:pt idx="37">
                  <c:v>#N/A</c:v>
                </c:pt>
                <c:pt idx="38" formatCode="General">
                  <c:v>#N/A</c:v>
                </c:pt>
                <c:pt idx="39">
                  <c:v>#N/A</c:v>
                </c:pt>
              </c:numCache>
            </c:numRef>
          </c:xVal>
          <c:yVal>
            <c:numRef>
              <c:f>_Hidden!$W$6:$W$45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yVal>
          <c:smooth val="0"/>
          <c:extLst>
            <c:ext xmlns:c16="http://schemas.microsoft.com/office/drawing/2014/chart" uri="{C3380CC4-5D6E-409C-BE32-E72D297353CC}">
              <c16:uniqueId val="{00000002-ACD5-404B-9B05-12698BEA8F4D}"/>
            </c:ext>
          </c:extLst>
        </c:ser>
        <c:ser>
          <c:idx val="2"/>
          <c:order val="3"/>
          <c:tx>
            <c:v>CSR(Cet)</c:v>
          </c:tx>
          <c:spPr>
            <a:ln w="19050" cap="rnd">
              <a:noFill/>
              <a:round/>
            </a:ln>
            <a:effectLst/>
          </c:spPr>
          <c:marker>
            <c:symbol val="triangle"/>
            <c:size val="6"/>
            <c:spPr>
              <a:solidFill>
                <a:schemeClr val="bg1"/>
              </a:solidFill>
              <a:ln w="9525">
                <a:solidFill>
                  <a:schemeClr val="tx1"/>
                </a:solidFill>
              </a:ln>
              <a:effectLst/>
            </c:spPr>
          </c:marker>
          <c:xVal>
            <c:numRef>
              <c:f>'Final Summary'!$AC$26:$AC$45</c:f>
              <c:numCache>
                <c:formatCode>0.0000</c:formatCode>
                <c:ptCount val="20"/>
                <c:pt idx="0">
                  <c:v>0.95265995669352044</c:v>
                </c:pt>
                <c:pt idx="1">
                  <c:v>0.9501872677197607</c:v>
                </c:pt>
                <c:pt idx="2">
                  <c:v>0.94666571539436606</c:v>
                </c:pt>
                <c:pt idx="3">
                  <c:v>#N/A</c:v>
                </c:pt>
                <c:pt idx="4">
                  <c:v>0.93793401402117049</c:v>
                </c:pt>
                <c:pt idx="5">
                  <c:v>0.93257751573693215</c:v>
                </c:pt>
                <c:pt idx="6">
                  <c:v>0.92645544117795442</c:v>
                </c:pt>
                <c:pt idx="7">
                  <c:v>0.91948539635050286</c:v>
                </c:pt>
                <c:pt idx="8">
                  <c:v>#N/A</c:v>
                </c:pt>
                <c:pt idx="9">
                  <c:v>0.90361270859979537</c:v>
                </c:pt>
                <c:pt idx="10">
                  <c:v>0.89054594014891797</c:v>
                </c:pt>
                <c:pt idx="11">
                  <c:v>0.87797090607324668</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3-ACD5-404B-9B05-12698BEA8F4D}"/>
            </c:ext>
          </c:extLst>
        </c:ser>
        <c:dLbls>
          <c:showLegendKey val="0"/>
          <c:showVal val="0"/>
          <c:showCatName val="0"/>
          <c:showSerName val="0"/>
          <c:showPercent val="0"/>
          <c:showBubbleSize val="0"/>
        </c:dLbls>
        <c:axId val="265415296"/>
        <c:axId val="265102080"/>
      </c:scatterChart>
      <c:valAx>
        <c:axId val="265415296"/>
        <c:scaling>
          <c:orientation val="minMax"/>
          <c:min val="0"/>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i="1"/>
                  <a:t>CSR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General"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5102080"/>
        <c:crosses val="autoZero"/>
        <c:crossBetween val="midCat"/>
      </c:valAx>
      <c:valAx>
        <c:axId val="265102080"/>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5415296"/>
        <c:crosses val="autoZero"/>
        <c:crossBetween val="midCat"/>
      </c:valAx>
      <c:spPr>
        <a:noFill/>
        <a:ln>
          <a:noFill/>
        </a:ln>
        <a:effectLst/>
      </c:spPr>
    </c:plotArea>
    <c:legend>
      <c:legendPos val="b"/>
      <c:layout>
        <c:manualLayout>
          <c:xMode val="edge"/>
          <c:yMode val="edge"/>
          <c:x val="0"/>
          <c:y val="0.83293757845486704"/>
          <c:w val="0.96560885972454724"/>
          <c:h val="0.1464865152725474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solidFill>
      <a:schemeClr val="bg1"/>
    </a:solid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583298798176544"/>
          <c:y val="0.18270865643005868"/>
          <c:w val="0.70833402403646906"/>
          <c:h val="0.62765816609217095"/>
        </c:manualLayout>
      </c:layout>
      <c:scatterChart>
        <c:scatterStyle val="lineMarker"/>
        <c:varyColors val="0"/>
        <c:ser>
          <c:idx val="0"/>
          <c:order val="0"/>
          <c:tx>
            <c:v>S(I&amp;Y)</c:v>
          </c:tx>
          <c:spPr>
            <a:ln w="12700" cap="rnd">
              <a:solidFill>
                <a:schemeClr val="tx1"/>
              </a:solidFill>
              <a:prstDash val="sysDash"/>
              <a:round/>
            </a:ln>
            <a:effectLst/>
          </c:spPr>
          <c:marker>
            <c:symbol val="none"/>
          </c:marker>
          <c:xVal>
            <c:numRef>
              <c:f>'Final Summary'!$Z$26:$Z$45</c:f>
              <c:numCache>
                <c:formatCode>0.00</c:formatCode>
                <c:ptCount val="20"/>
                <c:pt idx="0">
                  <c:v>12.880173220636962</c:v>
                </c:pt>
                <c:pt idx="1">
                  <c:v>12.846480018254567</c:v>
                </c:pt>
                <c:pt idx="2">
                  <c:v>9.6472942084314806</c:v>
                </c:pt>
                <c:pt idx="3">
                  <c:v>7.003131034746807</c:v>
                </c:pt>
                <c:pt idx="4">
                  <c:v>7.003131034746807</c:v>
                </c:pt>
                <c:pt idx="5">
                  <c:v>4.939580636283611</c:v>
                </c:pt>
                <c:pt idx="6">
                  <c:v>4.5567096438495707</c:v>
                </c:pt>
                <c:pt idx="7">
                  <c:v>3.0056729797070396</c:v>
                </c:pt>
                <c:pt idx="8">
                  <c:v>2.0380879537433767</c:v>
                </c:pt>
                <c:pt idx="9">
                  <c:v>2.0380879537433767</c:v>
                </c:pt>
                <c:pt idx="10">
                  <c:v>0.91533927204430754</c:v>
                </c:pt>
                <c:pt idx="11">
                  <c:v>0.19860139281995717</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5CFA-4D18-802C-8539D05FC6BA}"/>
            </c:ext>
          </c:extLst>
        </c:ser>
        <c:ser>
          <c:idx val="1"/>
          <c:order val="1"/>
          <c:tx>
            <c:v>S(Cet)</c:v>
          </c:tx>
          <c:spPr>
            <a:ln w="12700" cap="rnd">
              <a:solidFill>
                <a:schemeClr val="tx1"/>
              </a:solidFill>
              <a:round/>
            </a:ln>
            <a:effectLst/>
          </c:spPr>
          <c:marker>
            <c:symbol val="none"/>
          </c:marker>
          <c:xVal>
            <c:numRef>
              <c:f>'Final Summary'!$AE$26:$AE$45</c:f>
              <c:numCache>
                <c:formatCode>0.00</c:formatCode>
                <c:ptCount val="20"/>
                <c:pt idx="0">
                  <c:v>17.781121844546966</c:v>
                </c:pt>
                <c:pt idx="1">
                  <c:v>17.034341326775493</c:v>
                </c:pt>
                <c:pt idx="2">
                  <c:v>12.83299742307605</c:v>
                </c:pt>
                <c:pt idx="3">
                  <c:v>9.3918712355518235</c:v>
                </c:pt>
                <c:pt idx="4">
                  <c:v>9.3918712355518235</c:v>
                </c:pt>
                <c:pt idx="5">
                  <c:v>6.6722732408434187</c:v>
                </c:pt>
                <c:pt idx="6">
                  <c:v>5.9265968427560916</c:v>
                </c:pt>
                <c:pt idx="7">
                  <c:v>3.7460448751286823</c:v>
                </c:pt>
                <c:pt idx="8">
                  <c:v>2.4524575293648705</c:v>
                </c:pt>
                <c:pt idx="9">
                  <c:v>2.4524575293648705</c:v>
                </c:pt>
                <c:pt idx="10">
                  <c:v>1.1520365113268556</c:v>
                </c:pt>
                <c:pt idx="11">
                  <c:v>0.23040130867282385</c:v>
                </c:pt>
                <c:pt idx="12">
                  <c:v>#N/A</c:v>
                </c:pt>
                <c:pt idx="13">
                  <c:v>#N/A</c:v>
                </c:pt>
                <c:pt idx="14">
                  <c:v>#N/A</c:v>
                </c:pt>
                <c:pt idx="15">
                  <c:v>#N/A</c:v>
                </c:pt>
                <c:pt idx="16">
                  <c:v>#N/A</c:v>
                </c:pt>
                <c:pt idx="17">
                  <c:v>#N/A</c:v>
                </c:pt>
                <c:pt idx="18">
                  <c:v>#N/A</c:v>
                </c:pt>
                <c:pt idx="19">
                  <c:v>#N/A</c:v>
                </c:pt>
              </c:numCache>
            </c:numRef>
          </c:xVal>
          <c:yVal>
            <c:numRef>
              <c:f>'Final Summary'!$U$26:$U$45</c:f>
              <c:numCache>
                <c:formatCode>0.00</c:formatCode>
                <c:ptCount val="20"/>
                <c:pt idx="0">
                  <c:v>1.5</c:v>
                </c:pt>
                <c:pt idx="1">
                  <c:v>5.5</c:v>
                </c:pt>
                <c:pt idx="2">
                  <c:v>10.5</c:v>
                </c:pt>
                <c:pt idx="3">
                  <c:v>15</c:v>
                </c:pt>
                <c:pt idx="4">
                  <c:v>20.5</c:v>
                </c:pt>
                <c:pt idx="5">
                  <c:v>25.5</c:v>
                </c:pt>
                <c:pt idx="6">
                  <c:v>30.5</c:v>
                </c:pt>
                <c:pt idx="7">
                  <c:v>35.5</c:v>
                </c:pt>
                <c:pt idx="8">
                  <c:v>41</c:v>
                </c:pt>
                <c:pt idx="9">
                  <c:v>45</c:v>
                </c:pt>
                <c:pt idx="10">
                  <c:v>51.5</c:v>
                </c:pt>
                <c:pt idx="11">
                  <c:v>57</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1-5CFA-4D18-802C-8539D05FC6BA}"/>
            </c:ext>
          </c:extLst>
        </c:ser>
        <c:ser>
          <c:idx val="2"/>
          <c:order val="2"/>
          <c:tx>
            <c:v>Scale</c:v>
          </c:tx>
          <c:spPr>
            <a:ln>
              <a:noFill/>
            </a:ln>
          </c:spPr>
          <c:marker>
            <c:symbol val="none"/>
          </c:marker>
          <c:xVal>
            <c:numRef>
              <c:f>_Hidden!$F$6:$F$45</c:f>
              <c:numCache>
                <c:formatCode>0.00</c:formatCode>
                <c:ptCount val="40"/>
                <c:pt idx="0">
                  <c:v>33.874185446686866</c:v>
                </c:pt>
                <c:pt idx="1">
                  <c:v>33.874185446686866</c:v>
                </c:pt>
                <c:pt idx="2">
                  <c:v>11.900438780020192</c:v>
                </c:pt>
                <c:pt idx="3">
                  <c:v>11.900438780020192</c:v>
                </c:pt>
                <c:pt idx="4">
                  <c:v>13.693403668256009</c:v>
                </c:pt>
                <c:pt idx="5">
                  <c:v>13.693403668256009</c:v>
                </c:pt>
                <c:pt idx="6">
                  <c:v>7.5891695726420965</c:v>
                </c:pt>
                <c:pt idx="7">
                  <c:v>7.5891695726420965</c:v>
                </c:pt>
                <c:pt idx="8">
                  <c:v>21.708473911296679</c:v>
                </c:pt>
                <c:pt idx="9">
                  <c:v>21.708473911296679</c:v>
                </c:pt>
                <c:pt idx="10">
                  <c:v>29.14039966028972</c:v>
                </c:pt>
                <c:pt idx="11">
                  <c:v>29.14039966028972</c:v>
                </c:pt>
                <c:pt idx="12">
                  <c:v>21.337630575889257</c:v>
                </c:pt>
                <c:pt idx="13">
                  <c:v>21.337630575889257</c:v>
                </c:pt>
                <c:pt idx="14">
                  <c:v>9.4876390112066709</c:v>
                </c:pt>
                <c:pt idx="15">
                  <c:v>9.4876390112066709</c:v>
                </c:pt>
                <c:pt idx="16">
                  <c:v>7.3030476983682764</c:v>
                </c:pt>
                <c:pt idx="17">
                  <c:v>7.3030476983682764</c:v>
                </c:pt>
                <c:pt idx="18">
                  <c:v>1.6327566637818389</c:v>
                </c:pt>
                <c:pt idx="19">
                  <c:v>1.6327566637818389</c:v>
                </c:pt>
                <c:pt idx="20">
                  <c:v>9.6599215676559655</c:v>
                </c:pt>
                <c:pt idx="21">
                  <c:v>9.6599215676559655</c:v>
                </c:pt>
                <c:pt idx="22">
                  <c:v>2.3758590121854533</c:v>
                </c:pt>
                <c:pt idx="23">
                  <c:v>2.3758590121854533</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numCache>
            </c:numRef>
          </c:xVal>
          <c:yVal>
            <c:numRef>
              <c:f>_Hidden!$E$6:$E$45</c:f>
              <c:numCache>
                <c:formatCode>0.00</c:formatCode>
                <c:ptCount val="40"/>
                <c:pt idx="0">
                  <c:v>0</c:v>
                </c:pt>
                <c:pt idx="1">
                  <c:v>3</c:v>
                </c:pt>
                <c:pt idx="2">
                  <c:v>3</c:v>
                </c:pt>
                <c:pt idx="3">
                  <c:v>8</c:v>
                </c:pt>
                <c:pt idx="4">
                  <c:v>8</c:v>
                </c:pt>
                <c:pt idx="5">
                  <c:v>13</c:v>
                </c:pt>
                <c:pt idx="6">
                  <c:v>13</c:v>
                </c:pt>
                <c:pt idx="7">
                  <c:v>17</c:v>
                </c:pt>
                <c:pt idx="8">
                  <c:v>17</c:v>
                </c:pt>
                <c:pt idx="9">
                  <c:v>24</c:v>
                </c:pt>
                <c:pt idx="10">
                  <c:v>24</c:v>
                </c:pt>
                <c:pt idx="11">
                  <c:v>27</c:v>
                </c:pt>
                <c:pt idx="12">
                  <c:v>27</c:v>
                </c:pt>
                <c:pt idx="13">
                  <c:v>34</c:v>
                </c:pt>
                <c:pt idx="14">
                  <c:v>34</c:v>
                </c:pt>
                <c:pt idx="15">
                  <c:v>37</c:v>
                </c:pt>
                <c:pt idx="16">
                  <c:v>37</c:v>
                </c:pt>
                <c:pt idx="17">
                  <c:v>45</c:v>
                </c:pt>
                <c:pt idx="18">
                  <c:v>45</c:v>
                </c:pt>
                <c:pt idx="19">
                  <c:v>48</c:v>
                </c:pt>
                <c:pt idx="20">
                  <c:v>48</c:v>
                </c:pt>
                <c:pt idx="21">
                  <c:v>55</c:v>
                </c:pt>
                <c:pt idx="22">
                  <c:v>55</c:v>
                </c:pt>
                <c:pt idx="23">
                  <c:v>59</c:v>
                </c:pt>
                <c:pt idx="24">
                  <c:v>59</c:v>
                </c:pt>
                <c:pt idx="25">
                  <c:v>59</c:v>
                </c:pt>
                <c:pt idx="26">
                  <c:v>59</c:v>
                </c:pt>
                <c:pt idx="27">
                  <c:v>59</c:v>
                </c:pt>
                <c:pt idx="28">
                  <c:v>59</c:v>
                </c:pt>
                <c:pt idx="29">
                  <c:v>59</c:v>
                </c:pt>
                <c:pt idx="30">
                  <c:v>59</c:v>
                </c:pt>
                <c:pt idx="31">
                  <c:v>59</c:v>
                </c:pt>
                <c:pt idx="32">
                  <c:v>59</c:v>
                </c:pt>
                <c:pt idx="33">
                  <c:v>59</c:v>
                </c:pt>
                <c:pt idx="34">
                  <c:v>59</c:v>
                </c:pt>
                <c:pt idx="35">
                  <c:v>59</c:v>
                </c:pt>
                <c:pt idx="36">
                  <c:v>59</c:v>
                </c:pt>
                <c:pt idx="37">
                  <c:v>59</c:v>
                </c:pt>
                <c:pt idx="38">
                  <c:v>59</c:v>
                </c:pt>
                <c:pt idx="39">
                  <c:v>59</c:v>
                </c:pt>
              </c:numCache>
            </c:numRef>
          </c:yVal>
          <c:smooth val="0"/>
          <c:extLst>
            <c:ext xmlns:c16="http://schemas.microsoft.com/office/drawing/2014/chart" uri="{C3380CC4-5D6E-409C-BE32-E72D297353CC}">
              <c16:uniqueId val="{00000000-F138-44CC-8819-1266072C62AF}"/>
            </c:ext>
          </c:extLst>
        </c:ser>
        <c:dLbls>
          <c:showLegendKey val="0"/>
          <c:showVal val="0"/>
          <c:showCatName val="0"/>
          <c:showSerName val="0"/>
          <c:showPercent val="0"/>
          <c:showBubbleSize val="0"/>
        </c:dLbls>
        <c:axId val="265140096"/>
        <c:axId val="265142272"/>
      </c:scatterChart>
      <c:valAx>
        <c:axId val="265140096"/>
        <c:scaling>
          <c:orientation val="minMax"/>
          <c:min val="0"/>
        </c:scaling>
        <c:delete val="0"/>
        <c:axPos val="t"/>
        <c:majorGridlines>
          <c:spPr>
            <a:ln w="9525" cap="flat" cmpd="sng" algn="ctr">
              <a:solidFill>
                <a:schemeClr val="tx1">
                  <a:lumMod val="15000"/>
                  <a:lumOff val="85000"/>
                </a:schemeClr>
              </a:solidFill>
              <a:round/>
            </a:ln>
            <a:effectLst/>
          </c:spPr>
        </c:majorGridlines>
        <c:title>
          <c:tx>
            <c:strRef>
              <c:f>_Hidden!$A$38</c:f>
              <c:strCache>
                <c:ptCount val="1"/>
                <c:pt idx="0">
                  <c:v>Cumulative Settlement [in]</c:v>
                </c:pt>
              </c:strCache>
            </c:strRef>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crossAx val="265142272"/>
        <c:crosses val="autoZero"/>
        <c:crossBetween val="midCat"/>
      </c:valAx>
      <c:valAx>
        <c:axId val="265142272"/>
        <c:scaling>
          <c:orientation val="maxMin"/>
        </c:scaling>
        <c:delete val="1"/>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crossAx val="265140096"/>
        <c:crosses val="autoZero"/>
        <c:crossBetween val="midCat"/>
      </c:valAx>
      <c:spPr>
        <a:noFill/>
        <a:ln>
          <a:solidFill>
            <a:schemeClr val="bg1">
              <a:lumMod val="85000"/>
            </a:schemeClr>
          </a:solidFill>
        </a:ln>
        <a:effectLst/>
      </c:spPr>
    </c:plotArea>
    <c:legend>
      <c:legendPos val="b"/>
      <c:legendEntry>
        <c:idx val="2"/>
        <c:delete val="1"/>
      </c:legendEntry>
      <c:layout>
        <c:manualLayout>
          <c:xMode val="edge"/>
          <c:yMode val="edge"/>
          <c:x val="0.15887318879660589"/>
          <c:y val="0.82660732625813083"/>
          <c:w val="0.74876856146406356"/>
          <c:h val="0.15469128513492114"/>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n-US"/>
        </a:p>
      </c:txPr>
    </c:legend>
    <c:plotVisOnly val="1"/>
    <c:dispBlanksAs val="span"/>
    <c:showDLblsOverMax val="0"/>
  </c:chart>
  <c:spPr>
    <a:noFill/>
    <a:ln w="9525" cap="flat" cmpd="sng" algn="ctr">
      <a:noFill/>
      <a:round/>
    </a:ln>
    <a:effectLst/>
  </c:spPr>
  <c:txPr>
    <a:bodyPr/>
    <a:lstStyle/>
    <a:p>
      <a:pPr>
        <a:defRPr>
          <a:latin typeface="Times New Roman" panose="02020603050405020304" pitchFamily="18" charset="0"/>
          <a:cs typeface="Times New Roman" panose="02020603050405020304" pitchFamily="18" charset="0"/>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lineMarker"/>
        <c:varyColors val="0"/>
        <c:ser>
          <c:idx val="0"/>
          <c:order val="0"/>
          <c:spPr>
            <a:ln w="25400" cap="rnd">
              <a:noFill/>
              <a:round/>
            </a:ln>
            <a:effectLst/>
          </c:spPr>
          <c:marker>
            <c:symbol val="circle"/>
            <c:size val="5"/>
            <c:spPr>
              <a:solidFill>
                <a:schemeClr val="accent1"/>
              </a:solidFill>
              <a:ln w="9525">
                <a:solidFill>
                  <a:schemeClr val="accent1"/>
                </a:solidFill>
              </a:ln>
              <a:effectLst/>
            </c:spPr>
          </c:marker>
          <c:xVal>
            <c:numRef>
              <c:f>'PB Liquefaction Initiation'!$AO$43:$AO$59</c:f>
              <c:numCache>
                <c:formatCode>0.00</c:formatCode>
                <c:ptCount val="17"/>
                <c:pt idx="0">
                  <c:v>0.75002377615896221</c:v>
                </c:pt>
                <c:pt idx="1">
                  <c:v>0.80399927434982477</c:v>
                </c:pt>
                <c:pt idx="2">
                  <c:v>0.84852681007212671</c:v>
                </c:pt>
                <c:pt idx="3">
                  <c:v>0.8867329766802311</c:v>
                </c:pt>
                <c:pt idx="4">
                  <c:v>0.92037487337803148</c:v>
                </c:pt>
                <c:pt idx="5">
                  <c:v>0.95054675925615573</c:v>
                </c:pt>
                <c:pt idx="6" formatCode="0.000">
                  <c:v>0.95821041852825428</c:v>
                </c:pt>
                <c:pt idx="7" formatCode="0.000">
                  <c:v>0.96401145177240277</c:v>
                </c:pt>
                <c:pt idx="8" formatCode="0.000">
                  <c:v>0.96928937315966979</c:v>
                </c:pt>
                <c:pt idx="9" formatCode="0.000">
                  <c:v>0.97413296572536268</c:v>
                </c:pt>
                <c:pt idx="10" formatCode="0.000">
                  <c:v>0.97861000975841117</c:v>
                </c:pt>
                <c:pt idx="11" formatCode="0.000">
                  <c:v>0.98277344732440974</c:v>
                </c:pt>
                <c:pt idx="12" formatCode="0.000">
                  <c:v>0.98666543480189284</c:v>
                </c:pt>
                <c:pt idx="13" formatCode="0.000">
                  <c:v>0.99032009730220838</c:v>
                </c:pt>
                <c:pt idx="14" formatCode="0.000">
                  <c:v>1</c:v>
                </c:pt>
                <c:pt idx="15" formatCode="0.000">
                  <c:v>1</c:v>
                </c:pt>
                <c:pt idx="16" formatCode="0.000">
                  <c:v>1</c:v>
                </c:pt>
              </c:numCache>
            </c:numRef>
          </c:xVal>
          <c:yVal>
            <c:numRef>
              <c:f>'PB Liquefaction Initiation'!$AR$43:$AR$59</c:f>
              <c:numCache>
                <c:formatCode>General</c:formatCode>
                <c:ptCount val="17"/>
                <c:pt idx="0">
                  <c:v>3</c:v>
                </c:pt>
                <c:pt idx="1">
                  <c:v>4</c:v>
                </c:pt>
                <c:pt idx="2">
                  <c:v>5</c:v>
                </c:pt>
                <c:pt idx="3">
                  <c:v>6</c:v>
                </c:pt>
                <c:pt idx="4">
                  <c:v>7</c:v>
                </c:pt>
                <c:pt idx="5">
                  <c:v>8</c:v>
                </c:pt>
                <c:pt idx="6">
                  <c:v>9</c:v>
                </c:pt>
                <c:pt idx="7">
                  <c:v>10</c:v>
                </c:pt>
                <c:pt idx="8">
                  <c:v>11</c:v>
                </c:pt>
                <c:pt idx="9">
                  <c:v>12</c:v>
                </c:pt>
                <c:pt idx="10">
                  <c:v>13</c:v>
                </c:pt>
                <c:pt idx="11">
                  <c:v>14</c:v>
                </c:pt>
                <c:pt idx="12">
                  <c:v>15</c:v>
                </c:pt>
                <c:pt idx="13">
                  <c:v>16</c:v>
                </c:pt>
                <c:pt idx="14">
                  <c:v>20</c:v>
                </c:pt>
                <c:pt idx="15">
                  <c:v>25</c:v>
                </c:pt>
                <c:pt idx="16">
                  <c:v>30</c:v>
                </c:pt>
              </c:numCache>
            </c:numRef>
          </c:yVal>
          <c:smooth val="0"/>
          <c:extLst>
            <c:ext xmlns:c16="http://schemas.microsoft.com/office/drawing/2014/chart" uri="{C3380CC4-5D6E-409C-BE32-E72D297353CC}">
              <c16:uniqueId val="{00000000-89B9-46BD-858C-43C635AE0430}"/>
            </c:ext>
          </c:extLst>
        </c:ser>
        <c:ser>
          <c:idx val="1"/>
          <c:order val="1"/>
          <c:spPr>
            <a:ln w="25400" cap="rnd">
              <a:noFill/>
              <a:round/>
            </a:ln>
            <a:effectLst/>
          </c:spPr>
          <c:marker>
            <c:symbol val="none"/>
          </c:marker>
          <c:trendline>
            <c:spPr>
              <a:ln w="19050" cap="rnd">
                <a:solidFill>
                  <a:schemeClr val="accent2"/>
                </a:solidFill>
                <a:prstDash val="sysDot"/>
              </a:ln>
              <a:effectLst/>
            </c:spPr>
            <c:trendlineType val="power"/>
            <c:dispRSqr val="0"/>
            <c:dispEq val="1"/>
            <c:trendlineLbl>
              <c:layout>
                <c:manualLayout>
                  <c:x val="-0.11675840829493836"/>
                  <c:y val="-2.9168771356410637E-2"/>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'PB Liquefaction Initiation'!$AP$43:$AP$48</c:f>
              <c:numCache>
                <c:formatCode>General</c:formatCode>
                <c:ptCount val="6"/>
                <c:pt idx="0">
                  <c:v>0.75</c:v>
                </c:pt>
                <c:pt idx="1">
                  <c:v>0.8</c:v>
                </c:pt>
                <c:pt idx="2">
                  <c:v>0.85</c:v>
                </c:pt>
                <c:pt idx="3">
                  <c:v>0.9</c:v>
                </c:pt>
                <c:pt idx="4">
                  <c:v>0.92</c:v>
                </c:pt>
                <c:pt idx="5">
                  <c:v>0.94</c:v>
                </c:pt>
              </c:numCache>
            </c:numRef>
          </c:xVal>
          <c:yVal>
            <c:numRef>
              <c:f>'PB Liquefaction Initiation'!$AR$43:$AR$48</c:f>
              <c:numCache>
                <c:formatCode>General</c:formatCode>
                <c:ptCount val="6"/>
                <c:pt idx="0">
                  <c:v>3</c:v>
                </c:pt>
                <c:pt idx="1">
                  <c:v>4</c:v>
                </c:pt>
                <c:pt idx="2">
                  <c:v>5</c:v>
                </c:pt>
                <c:pt idx="3">
                  <c:v>6</c:v>
                </c:pt>
                <c:pt idx="4">
                  <c:v>7</c:v>
                </c:pt>
                <c:pt idx="5">
                  <c:v>8</c:v>
                </c:pt>
              </c:numCache>
            </c:numRef>
          </c:yVal>
          <c:smooth val="0"/>
          <c:extLst>
            <c:ext xmlns:c16="http://schemas.microsoft.com/office/drawing/2014/chart" uri="{C3380CC4-5D6E-409C-BE32-E72D297353CC}">
              <c16:uniqueId val="{00000001-89B9-46BD-858C-43C635AE0430}"/>
            </c:ext>
          </c:extLst>
        </c:ser>
        <c:ser>
          <c:idx val="2"/>
          <c:order val="2"/>
          <c:spPr>
            <a:ln w="25400" cap="rnd">
              <a:noFill/>
              <a:round/>
            </a:ln>
            <a:effectLst/>
          </c:spPr>
          <c:marker>
            <c:symbol val="none"/>
          </c:marker>
          <c:trendline>
            <c:spPr>
              <a:ln w="19050" cap="rnd">
                <a:solidFill>
                  <a:schemeClr val="accent3"/>
                </a:solidFill>
                <a:prstDash val="sysDot"/>
              </a:ln>
              <a:effectLst/>
            </c:spPr>
            <c:trendlineType val="power"/>
            <c:dispRSqr val="0"/>
            <c:dispEq val="1"/>
            <c:trendlineLbl>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'PB Liquefaction Initiation'!$AQ$49:$AQ$56</c:f>
              <c:numCache>
                <c:formatCode>General</c:formatCode>
                <c:ptCount val="8"/>
                <c:pt idx="0">
                  <c:v>0.95699999999999996</c:v>
                </c:pt>
                <c:pt idx="1">
                  <c:v>0.96399999999999997</c:v>
                </c:pt>
                <c:pt idx="2">
                  <c:v>0.97</c:v>
                </c:pt>
                <c:pt idx="3">
                  <c:v>0.97499999999999998</c:v>
                </c:pt>
                <c:pt idx="4">
                  <c:v>0.98</c:v>
                </c:pt>
                <c:pt idx="5">
                  <c:v>0.98399999999999999</c:v>
                </c:pt>
                <c:pt idx="6">
                  <c:v>0.98599999999999999</c:v>
                </c:pt>
                <c:pt idx="7">
                  <c:v>0.98799999999999999</c:v>
                </c:pt>
              </c:numCache>
            </c:numRef>
          </c:xVal>
          <c:yVal>
            <c:numRef>
              <c:f>'PB Liquefaction Initiation'!$AR$49:$AR$56</c:f>
              <c:numCache>
                <c:formatCode>General</c:formatCode>
                <c:ptCount val="8"/>
                <c:pt idx="0">
                  <c:v>9</c:v>
                </c:pt>
                <c:pt idx="1">
                  <c:v>10</c:v>
                </c:pt>
                <c:pt idx="2">
                  <c:v>11</c:v>
                </c:pt>
                <c:pt idx="3">
                  <c:v>12</c:v>
                </c:pt>
                <c:pt idx="4">
                  <c:v>13</c:v>
                </c:pt>
                <c:pt idx="5">
                  <c:v>14</c:v>
                </c:pt>
                <c:pt idx="6">
                  <c:v>15</c:v>
                </c:pt>
                <c:pt idx="7">
                  <c:v>16</c:v>
                </c:pt>
              </c:numCache>
            </c:numRef>
          </c:yVal>
          <c:smooth val="0"/>
          <c:extLst>
            <c:ext xmlns:c16="http://schemas.microsoft.com/office/drawing/2014/chart" uri="{C3380CC4-5D6E-409C-BE32-E72D297353CC}">
              <c16:uniqueId val="{00000002-89B9-46BD-858C-43C635AE0430}"/>
            </c:ext>
          </c:extLst>
        </c:ser>
        <c:dLbls>
          <c:showLegendKey val="0"/>
          <c:showVal val="0"/>
          <c:showCatName val="0"/>
          <c:showSerName val="0"/>
          <c:showPercent val="0"/>
          <c:showBubbleSize val="0"/>
        </c:dLbls>
        <c:axId val="259918848"/>
        <c:axId val="259929216"/>
      </c:scatterChart>
      <c:valAx>
        <c:axId val="259918848"/>
        <c:scaling>
          <c:orientation val="minMax"/>
          <c:max val="1.1000000000000001"/>
          <c:min val="0.70000000000000007"/>
        </c:scaling>
        <c:delete val="0"/>
        <c:axPos val="t"/>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C_R</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9929216"/>
        <c:crosses val="autoZero"/>
        <c:crossBetween val="midCat"/>
      </c:valAx>
      <c:valAx>
        <c:axId val="259929216"/>
        <c:scaling>
          <c:orientation val="maxMin"/>
          <c:max val="30"/>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Rod Length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9918848"/>
        <c:crosses val="autoZero"/>
        <c:crossBetween val="midCat"/>
      </c:valAx>
      <c:spPr>
        <a:noFill/>
        <a:ln>
          <a:noFill/>
        </a:ln>
        <a:effectLst/>
      </c:spPr>
    </c:plotArea>
    <c:plotVisOnly val="1"/>
    <c:dispBlanksAs val="gap"/>
    <c:showDLblsOverMax val="0"/>
  </c:chart>
  <c:spPr>
    <a:no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hyperlink" Target="https://earthquake.usgs.gov/hazards/interactive/" TargetMode="External"/><Relationship Id="rId1" Type="http://schemas.openxmlformats.org/officeDocument/2006/relationships/hyperlink" Target="http://tethys.byu.edu/apps/lfhazard" TargetMode="External"/></Relationships>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8" Type="http://schemas.openxmlformats.org/officeDocument/2006/relationships/image" Target="../media/image27.png"/><Relationship Id="rId3" Type="http://schemas.openxmlformats.org/officeDocument/2006/relationships/image" Target="../media/image22.png"/><Relationship Id="rId7" Type="http://schemas.openxmlformats.org/officeDocument/2006/relationships/image" Target="../media/image26.png"/><Relationship Id="rId12" Type="http://schemas.openxmlformats.org/officeDocument/2006/relationships/image" Target="../media/image31.emf"/><Relationship Id="rId2" Type="http://schemas.openxmlformats.org/officeDocument/2006/relationships/image" Target="../media/image21.png"/><Relationship Id="rId1" Type="http://schemas.openxmlformats.org/officeDocument/2006/relationships/image" Target="../media/image20.png"/><Relationship Id="rId6" Type="http://schemas.openxmlformats.org/officeDocument/2006/relationships/image" Target="../media/image25.png"/><Relationship Id="rId11" Type="http://schemas.openxmlformats.org/officeDocument/2006/relationships/image" Target="../media/image30.emf"/><Relationship Id="rId5" Type="http://schemas.openxmlformats.org/officeDocument/2006/relationships/image" Target="../media/image24.png"/><Relationship Id="rId10" Type="http://schemas.openxmlformats.org/officeDocument/2006/relationships/image" Target="../media/image29.png"/><Relationship Id="rId4" Type="http://schemas.openxmlformats.org/officeDocument/2006/relationships/image" Target="../media/image23.png"/><Relationship Id="rId9" Type="http://schemas.openxmlformats.org/officeDocument/2006/relationships/image" Target="../media/image28.png"/></Relationships>
</file>

<file path=xl/drawings/_rels/vmlDrawing4.vml.rels><?xml version="1.0" encoding="UTF-8" standalone="yes"?>
<Relationships xmlns="http://schemas.openxmlformats.org/package/2006/relationships"><Relationship Id="rId3" Type="http://schemas.openxmlformats.org/officeDocument/2006/relationships/image" Target="../media/image5.wmf"/><Relationship Id="rId2" Type="http://schemas.openxmlformats.org/officeDocument/2006/relationships/image" Target="../media/image4.wmf"/><Relationship Id="rId1" Type="http://schemas.openxmlformats.org/officeDocument/2006/relationships/image" Target="../media/image3.wmf"/><Relationship Id="rId6" Type="http://schemas.openxmlformats.org/officeDocument/2006/relationships/image" Target="../media/image8.wmf"/><Relationship Id="rId5" Type="http://schemas.openxmlformats.org/officeDocument/2006/relationships/image" Target="../media/image7.wmf"/><Relationship Id="rId4"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8" Type="http://schemas.openxmlformats.org/officeDocument/2006/relationships/image" Target="../media/image16.emf"/><Relationship Id="rId3" Type="http://schemas.openxmlformats.org/officeDocument/2006/relationships/image" Target="../media/image11.emf"/><Relationship Id="rId7" Type="http://schemas.openxmlformats.org/officeDocument/2006/relationships/image" Target="../media/image15.emf"/><Relationship Id="rId2" Type="http://schemas.openxmlformats.org/officeDocument/2006/relationships/image" Target="../media/image10.emf"/><Relationship Id="rId1" Type="http://schemas.openxmlformats.org/officeDocument/2006/relationships/image" Target="../media/image9.emf"/><Relationship Id="rId6" Type="http://schemas.openxmlformats.org/officeDocument/2006/relationships/image" Target="../media/image14.emf"/><Relationship Id="rId5" Type="http://schemas.openxmlformats.org/officeDocument/2006/relationships/image" Target="../media/image13.emf"/><Relationship Id="rId4" Type="http://schemas.openxmlformats.org/officeDocument/2006/relationships/image" Target="../media/image12.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19.wmf"/><Relationship Id="rId2" Type="http://schemas.openxmlformats.org/officeDocument/2006/relationships/image" Target="../media/image18.wmf"/><Relationship Id="rId1" Type="http://schemas.openxmlformats.org/officeDocument/2006/relationships/image" Target="../media/image17.wmf"/></Relationships>
</file>

<file path=xl/drawings/drawing1.xml><?xml version="1.0" encoding="utf-8"?>
<xdr:wsDr xmlns:xdr="http://schemas.openxmlformats.org/drawingml/2006/spreadsheetDrawing" xmlns:a="http://schemas.openxmlformats.org/drawingml/2006/main">
  <xdr:twoCellAnchor>
    <xdr:from>
      <xdr:col>14</xdr:col>
      <xdr:colOff>438148</xdr:colOff>
      <xdr:row>6</xdr:row>
      <xdr:rowOff>28576</xdr:rowOff>
    </xdr:from>
    <xdr:to>
      <xdr:col>18</xdr:col>
      <xdr:colOff>485775</xdr:colOff>
      <xdr:row>7</xdr:row>
      <xdr:rowOff>95251</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10201273" y="1619251"/>
          <a:ext cx="2790827" cy="266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a:latin typeface="Times New Roman" panose="02020603050405020304" pitchFamily="18" charset="0"/>
              <a:cs typeface="Times New Roman" panose="02020603050405020304" pitchFamily="18" charset="0"/>
            </a:rPr>
            <a:t>Simplified Performance-Based</a:t>
          </a:r>
          <a:r>
            <a:rPr lang="en-US" sz="1200" b="1" baseline="0">
              <a:latin typeface="Times New Roman" panose="02020603050405020304" pitchFamily="18" charset="0"/>
              <a:cs typeface="Times New Roman" panose="02020603050405020304" pitchFamily="18" charset="0"/>
            </a:rPr>
            <a:t> Analysis</a:t>
          </a:r>
          <a:endParaRPr lang="en-US" sz="1200" b="1">
            <a:latin typeface="Times New Roman" panose="02020603050405020304" pitchFamily="18" charset="0"/>
            <a:cs typeface="Times New Roman" panose="02020603050405020304" pitchFamily="18" charset="0"/>
          </a:endParaRPr>
        </a:p>
      </xdr:txBody>
    </xdr:sp>
    <xdr:clientData/>
  </xdr:twoCellAnchor>
  <xdr:twoCellAnchor>
    <xdr:from>
      <xdr:col>14</xdr:col>
      <xdr:colOff>685799</xdr:colOff>
      <xdr:row>11</xdr:row>
      <xdr:rowOff>123825</xdr:rowOff>
    </xdr:from>
    <xdr:to>
      <xdr:col>19</xdr:col>
      <xdr:colOff>438150</xdr:colOff>
      <xdr:row>11</xdr:row>
      <xdr:rowOff>295274</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10448924" y="2714625"/>
          <a:ext cx="3067051" cy="1714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b="1">
              <a:latin typeface="Times New Roman" panose="02020603050405020304" pitchFamily="18" charset="0"/>
              <a:cs typeface="Times New Roman" panose="02020603050405020304" pitchFamily="18" charset="0"/>
            </a:rPr>
            <a:t>Liquefaction Initiation and Settlement Options:</a:t>
          </a:r>
        </a:p>
      </xdr:txBody>
    </xdr:sp>
    <xdr:clientData/>
  </xdr:twoCellAnchor>
  <xdr:twoCellAnchor>
    <xdr:from>
      <xdr:col>14</xdr:col>
      <xdr:colOff>419099</xdr:colOff>
      <xdr:row>18</xdr:row>
      <xdr:rowOff>19050</xdr:rowOff>
    </xdr:from>
    <xdr:to>
      <xdr:col>17</xdr:col>
      <xdr:colOff>133349</xdr:colOff>
      <xdr:row>19</xdr:row>
      <xdr:rowOff>76200</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9210674" y="4200525"/>
          <a:ext cx="1771650"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a:latin typeface="Times New Roman" panose="02020603050405020304" pitchFamily="18" charset="0"/>
              <a:cs typeface="Times New Roman" panose="02020603050405020304" pitchFamily="18" charset="0"/>
            </a:rPr>
            <a:t>Deterministic Analysis</a:t>
          </a:r>
        </a:p>
      </xdr:txBody>
    </xdr:sp>
    <xdr:clientData/>
  </xdr:twoCellAnchor>
  <xdr:twoCellAnchor>
    <xdr:from>
      <xdr:col>20</xdr:col>
      <xdr:colOff>28576</xdr:colOff>
      <xdr:row>11</xdr:row>
      <xdr:rowOff>95250</xdr:rowOff>
    </xdr:from>
    <xdr:to>
      <xdr:col>22</xdr:col>
      <xdr:colOff>361950</xdr:colOff>
      <xdr:row>11</xdr:row>
      <xdr:rowOff>323850</xdr:rowOff>
    </xdr:to>
    <xdr:sp macro="" textlink="">
      <xdr:nvSpPr>
        <xdr:cNvPr id="35" name="TextBox 34">
          <a:extLst>
            <a:ext uri="{FF2B5EF4-FFF2-40B4-BE49-F238E27FC236}">
              <a16:creationId xmlns:a16="http://schemas.microsoft.com/office/drawing/2014/main" id="{00000000-0008-0000-0100-000023000000}"/>
            </a:ext>
          </a:extLst>
        </xdr:cNvPr>
        <xdr:cNvSpPr txBox="1"/>
      </xdr:nvSpPr>
      <xdr:spPr>
        <a:xfrm>
          <a:off x="13401676" y="2686050"/>
          <a:ext cx="1704974"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latin typeface="Times New Roman" panose="02020603050405020304" pitchFamily="18" charset="0"/>
              <a:cs typeface="Times New Roman" panose="02020603050405020304" pitchFamily="18" charset="0"/>
            </a:rPr>
            <a:t>Lateral Spread Options:</a:t>
          </a:r>
        </a:p>
      </xdr:txBody>
    </xdr:sp>
    <xdr:clientData/>
  </xdr:twoCellAnchor>
  <xdr:twoCellAnchor>
    <xdr:from>
      <xdr:col>15</xdr:col>
      <xdr:colOff>0</xdr:colOff>
      <xdr:row>13</xdr:row>
      <xdr:rowOff>123825</xdr:rowOff>
    </xdr:from>
    <xdr:to>
      <xdr:col>17</xdr:col>
      <xdr:colOff>228600</xdr:colOff>
      <xdr:row>14</xdr:row>
      <xdr:rowOff>133350</xdr:rowOff>
    </xdr:to>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9953625" y="3295650"/>
          <a:ext cx="1600200" cy="2095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b="1">
              <a:latin typeface="Times New Roman" panose="02020603050405020304" pitchFamily="18" charset="0"/>
              <a:cs typeface="Times New Roman" panose="02020603050405020304" pitchFamily="18" charset="0"/>
            </a:rPr>
            <a:t>Output</a:t>
          </a:r>
          <a:r>
            <a:rPr lang="en-US" sz="1200" b="1">
              <a:latin typeface="Times New Roman" panose="02020603050405020304" pitchFamily="18" charset="0"/>
              <a:cs typeface="Times New Roman" panose="02020603050405020304" pitchFamily="18" charset="0"/>
            </a:rPr>
            <a:t> Type:</a:t>
          </a:r>
        </a:p>
      </xdr:txBody>
    </xdr:sp>
    <xdr:clientData/>
  </xdr:twoCellAnchor>
  <xdr:twoCellAnchor>
    <xdr:from>
      <xdr:col>20</xdr:col>
      <xdr:colOff>95250</xdr:colOff>
      <xdr:row>24</xdr:row>
      <xdr:rowOff>0</xdr:rowOff>
    </xdr:from>
    <xdr:to>
      <xdr:col>25</xdr:col>
      <xdr:colOff>304800</xdr:colOff>
      <xdr:row>26</xdr:row>
      <xdr:rowOff>152400</xdr:rowOff>
    </xdr:to>
    <xdr:sp macro="" textlink="">
      <xdr:nvSpPr>
        <xdr:cNvPr id="6" name="TextBox 5">
          <a:extLst>
            <a:ext uri="{FF2B5EF4-FFF2-40B4-BE49-F238E27FC236}">
              <a16:creationId xmlns:a16="http://schemas.microsoft.com/office/drawing/2014/main" id="{00000000-0008-0000-0100-000006000000}"/>
            </a:ext>
          </a:extLst>
        </xdr:cNvPr>
        <xdr:cNvSpPr txBox="1"/>
      </xdr:nvSpPr>
      <xdr:spPr>
        <a:xfrm>
          <a:off x="13468350" y="5362575"/>
          <a:ext cx="3638550" cy="5524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a:solidFill>
                <a:srgbClr val="FF0000"/>
              </a:solidFill>
            </a:rPr>
            <a:t>* WARNING:</a:t>
          </a:r>
          <a:r>
            <a:rPr lang="en-US" sz="900" baseline="0">
              <a:solidFill>
                <a:srgbClr val="FF0000"/>
              </a:solidFill>
            </a:rPr>
            <a:t> If </a:t>
          </a:r>
          <a:r>
            <a:rPr lang="en-US" sz="900">
              <a:solidFill>
                <a:srgbClr val="FF0000"/>
              </a:solidFill>
            </a:rPr>
            <a:t>you have made changes to the Input</a:t>
          </a:r>
          <a:r>
            <a:rPr lang="en-US" sz="900" baseline="0">
              <a:solidFill>
                <a:srgbClr val="FF0000"/>
              </a:solidFill>
            </a:rPr>
            <a:t> page, these changes will not be reflected on the Final Summary page unless you click the</a:t>
          </a:r>
          <a:r>
            <a:rPr lang="en-US" sz="900">
              <a:solidFill>
                <a:srgbClr val="FF0000"/>
              </a:solidFill>
            </a:rPr>
            <a:t> "Analyze"</a:t>
          </a:r>
          <a:r>
            <a:rPr lang="en-US" sz="900" baseline="0">
              <a:solidFill>
                <a:srgbClr val="FF0000"/>
              </a:solidFill>
            </a:rPr>
            <a:t> button to run the analysis.</a:t>
          </a:r>
          <a:endParaRPr lang="en-US" sz="900">
            <a:solidFill>
              <a:srgbClr val="FF0000"/>
            </a:solidFill>
          </a:endParaRPr>
        </a:p>
      </xdr:txBody>
    </xdr:sp>
    <xdr:clientData/>
  </xdr:twoCellAnchor>
  <xdr:twoCellAnchor editAs="oneCell">
    <xdr:from>
      <xdr:col>20</xdr:col>
      <xdr:colOff>142875</xdr:colOff>
      <xdr:row>20</xdr:row>
      <xdr:rowOff>180975</xdr:rowOff>
    </xdr:from>
    <xdr:to>
      <xdr:col>22</xdr:col>
      <xdr:colOff>276225</xdr:colOff>
      <xdr:row>23</xdr:row>
      <xdr:rowOff>95250</xdr:rowOff>
    </xdr:to>
    <xdr:sp macro="[0]!analyze_all" textlink="">
      <xdr:nvSpPr>
        <xdr:cNvPr id="8" name="Rectangle 7">
          <a:extLst>
            <a:ext uri="{FF2B5EF4-FFF2-40B4-BE49-F238E27FC236}">
              <a16:creationId xmlns:a16="http://schemas.microsoft.com/office/drawing/2014/main" id="{00000000-0008-0000-0100-000008000000}"/>
            </a:ext>
          </a:extLst>
        </xdr:cNvPr>
        <xdr:cNvSpPr/>
      </xdr:nvSpPr>
      <xdr:spPr>
        <a:xfrm>
          <a:off x="13515975" y="4743450"/>
          <a:ext cx="1504950" cy="514350"/>
        </a:xfrm>
        <a:prstGeom prst="rect">
          <a:avLst/>
        </a:prstGeom>
        <a:solidFill>
          <a:srgbClr val="00CCFF"/>
        </a:solidFill>
        <a:ln w="12700" cap="flat" cmpd="sng" algn="ctr">
          <a:solidFill>
            <a:srgbClr val="33CCCC"/>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Times New Roman" panose="02020603050405020304" pitchFamily="18" charset="0"/>
              <a:cs typeface="Times New Roman" panose="02020603050405020304" pitchFamily="18" charset="0"/>
            </a:rPr>
            <a:t>Analyze</a:t>
          </a:r>
        </a:p>
      </xdr:txBody>
    </xdr:sp>
    <xdr:clientData fLocksWithSheet="0"/>
  </xdr:twoCellAnchor>
  <xdr:twoCellAnchor editAs="oneCell">
    <xdr:from>
      <xdr:col>22</xdr:col>
      <xdr:colOff>447675</xdr:colOff>
      <xdr:row>20</xdr:row>
      <xdr:rowOff>190500</xdr:rowOff>
    </xdr:from>
    <xdr:to>
      <xdr:col>24</xdr:col>
      <xdr:colOff>552450</xdr:colOff>
      <xdr:row>23</xdr:row>
      <xdr:rowOff>104775</xdr:rowOff>
    </xdr:to>
    <xdr:sp macro="[0]!Print_summary" textlink="">
      <xdr:nvSpPr>
        <xdr:cNvPr id="65" name="Rectangle 64">
          <a:extLst>
            <a:ext uri="{FF2B5EF4-FFF2-40B4-BE49-F238E27FC236}">
              <a16:creationId xmlns:a16="http://schemas.microsoft.com/office/drawing/2014/main" id="{00000000-0008-0000-0100-000041000000}"/>
            </a:ext>
          </a:extLst>
        </xdr:cNvPr>
        <xdr:cNvSpPr/>
      </xdr:nvSpPr>
      <xdr:spPr>
        <a:xfrm>
          <a:off x="15192375" y="4752975"/>
          <a:ext cx="1476375" cy="514350"/>
        </a:xfrm>
        <a:prstGeom prst="rect">
          <a:avLst/>
        </a:prstGeom>
        <a:solidFill>
          <a:srgbClr val="00CCFF"/>
        </a:solidFill>
        <a:ln w="12700" cap="flat" cmpd="sng" algn="ctr">
          <a:solidFill>
            <a:srgbClr val="33CCCC"/>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Times New Roman" panose="02020603050405020304" pitchFamily="18" charset="0"/>
              <a:cs typeface="Times New Roman" panose="02020603050405020304" pitchFamily="18" charset="0"/>
            </a:rPr>
            <a:t>Print Summary Page</a:t>
          </a:r>
        </a:p>
      </xdr:txBody>
    </xdr:sp>
    <xdr:clientData fLocksWithSheet="0"/>
  </xdr:twoCellAnchor>
  <xdr:twoCellAnchor>
    <xdr:from>
      <xdr:col>20</xdr:col>
      <xdr:colOff>19049</xdr:colOff>
      <xdr:row>13</xdr:row>
      <xdr:rowOff>161924</xdr:rowOff>
    </xdr:from>
    <xdr:to>
      <xdr:col>23</xdr:col>
      <xdr:colOff>676275</xdr:colOff>
      <xdr:row>14</xdr:row>
      <xdr:rowOff>171450</xdr:rowOff>
    </xdr:to>
    <xdr:sp macro="" textlink="">
      <xdr:nvSpPr>
        <xdr:cNvPr id="11" name="TextBox 10">
          <a:extLst>
            <a:ext uri="{FF2B5EF4-FFF2-40B4-BE49-F238E27FC236}">
              <a16:creationId xmlns:a16="http://schemas.microsoft.com/office/drawing/2014/main" id="{00000000-0008-0000-0100-00000B000000}"/>
            </a:ext>
          </a:extLst>
        </xdr:cNvPr>
        <xdr:cNvSpPr txBox="1"/>
      </xdr:nvSpPr>
      <xdr:spPr>
        <a:xfrm>
          <a:off x="13782674" y="3314699"/>
          <a:ext cx="2714626" cy="2095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n-US" sz="1100" b="1">
              <a:latin typeface="Times New Roman" panose="02020603050405020304" pitchFamily="18" charset="0"/>
              <a:cs typeface="Times New Roman" panose="02020603050405020304" pitchFamily="18" charset="0"/>
            </a:rPr>
            <a:t>Seismic Slope Displacement Options:</a:t>
          </a:r>
          <a:endParaRPr lang="en-US" sz="1200" b="1">
            <a:latin typeface="Times New Roman" panose="02020603050405020304" pitchFamily="18" charset="0"/>
            <a:cs typeface="Times New Roman" panose="02020603050405020304" pitchFamily="18" charset="0"/>
          </a:endParaRPr>
        </a:p>
      </xdr:txBody>
    </xdr:sp>
    <xdr:clientData/>
  </xdr:twoCellAnchor>
  <xdr:twoCellAnchor>
    <xdr:from>
      <xdr:col>11</xdr:col>
      <xdr:colOff>276225</xdr:colOff>
      <xdr:row>45</xdr:row>
      <xdr:rowOff>152399</xdr:rowOff>
    </xdr:from>
    <xdr:to>
      <xdr:col>22</xdr:col>
      <xdr:colOff>190500</xdr:colOff>
      <xdr:row>56</xdr:row>
      <xdr:rowOff>76200</xdr:rowOff>
    </xdr:to>
    <xdr:sp macro="" textlink="">
      <xdr:nvSpPr>
        <xdr:cNvPr id="7" name="TextBox 6">
          <a:extLst>
            <a:ext uri="{FF2B5EF4-FFF2-40B4-BE49-F238E27FC236}">
              <a16:creationId xmlns:a16="http://schemas.microsoft.com/office/drawing/2014/main" id="{00000000-0008-0000-0100-000007000000}"/>
            </a:ext>
          </a:extLst>
        </xdr:cNvPr>
        <xdr:cNvSpPr txBox="1"/>
      </xdr:nvSpPr>
      <xdr:spPr>
        <a:xfrm>
          <a:off x="8382000" y="9848849"/>
          <a:ext cx="6943725" cy="22669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REFERENCE VALUES CAN NOW</a:t>
          </a:r>
          <a:r>
            <a:rPr lang="en-US" sz="1100" baseline="0">
              <a:latin typeface="Times New Roman" panose="02020603050405020304" pitchFamily="18" charset="0"/>
              <a:cs typeface="Times New Roman" panose="02020603050405020304" pitchFamily="18" charset="0"/>
            </a:rPr>
            <a:t> BE OBTAINED THROUGH ONLINE DATABASE:</a:t>
          </a:r>
        </a:p>
        <a:p>
          <a:r>
            <a:rPr lang="en-US" sz="1100" baseline="0">
              <a:latin typeface="Times New Roman" panose="02020603050405020304" pitchFamily="18" charset="0"/>
              <a:cs typeface="Times New Roman" panose="02020603050405020304" pitchFamily="18" charset="0"/>
            </a:rPr>
            <a:t>1) Go to http://tethys.byu.edu/apps/lfhazard/ by typing URL in web browser or clicking on blue button below:</a:t>
          </a:r>
        </a:p>
        <a:p>
          <a:r>
            <a:rPr lang="en-US" sz="1100" b="0" i="0">
              <a:solidFill>
                <a:schemeClr val="dk1"/>
              </a:solidFill>
              <a:effectLst/>
              <a:latin typeface="Times New Roman" panose="02020603050405020304" pitchFamily="18" charset="0"/>
              <a:ea typeface="+mn-ea"/>
              <a:cs typeface="Times New Roman" panose="02020603050405020304" pitchFamily="18" charset="0"/>
            </a:rPr>
            <a:t>	</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2) Select Appropriate State, Model Year, and Return Period </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3) Select geographic point of interest on map interface or enter longitude and latitude in text boxes. </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4)Reference Values will populate within a pop-up in the browser.</a:t>
          </a:r>
          <a:endParaRPr lang="en-US" sz="1100">
            <a:latin typeface="Times New Roman" panose="02020603050405020304" pitchFamily="18" charset="0"/>
            <a:cs typeface="Times New Roman" panose="02020603050405020304" pitchFamily="18" charset="0"/>
          </a:endParaRPr>
        </a:p>
      </xdr:txBody>
    </xdr:sp>
    <xdr:clientData/>
  </xdr:twoCellAnchor>
  <xdr:twoCellAnchor editAs="oneCell">
    <xdr:from>
      <xdr:col>14</xdr:col>
      <xdr:colOff>295275</xdr:colOff>
      <xdr:row>48</xdr:row>
      <xdr:rowOff>47625</xdr:rowOff>
    </xdr:from>
    <xdr:to>
      <xdr:col>16</xdr:col>
      <xdr:colOff>428625</xdr:colOff>
      <xdr:row>50</xdr:row>
      <xdr:rowOff>133350</xdr:rowOff>
    </xdr:to>
    <xdr:sp macro="" textlink="">
      <xdr:nvSpPr>
        <xdr:cNvPr id="12" name="Rectangle 11">
          <a:hlinkClick xmlns:r="http://schemas.openxmlformats.org/officeDocument/2006/relationships" r:id="rId1"/>
          <a:extLst>
            <a:ext uri="{FF2B5EF4-FFF2-40B4-BE49-F238E27FC236}">
              <a16:creationId xmlns:a16="http://schemas.microsoft.com/office/drawing/2014/main" id="{00000000-0008-0000-0100-00000C000000}"/>
            </a:ext>
          </a:extLst>
        </xdr:cNvPr>
        <xdr:cNvSpPr/>
      </xdr:nvSpPr>
      <xdr:spPr>
        <a:xfrm>
          <a:off x="11582400" y="10353675"/>
          <a:ext cx="1504950" cy="514350"/>
        </a:xfrm>
        <a:prstGeom prst="rect">
          <a:avLst/>
        </a:prstGeom>
        <a:solidFill>
          <a:srgbClr val="00CCFF"/>
        </a:solidFill>
        <a:ln w="12700" cap="flat" cmpd="sng" algn="ctr">
          <a:solidFill>
            <a:srgbClr val="33CCCC"/>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Times New Roman" panose="02020603050405020304" pitchFamily="18" charset="0"/>
              <a:cs typeface="Times New Roman" panose="02020603050405020304" pitchFamily="18" charset="0"/>
            </a:rPr>
            <a:t>Reference Map Database</a:t>
          </a:r>
        </a:p>
      </xdr:txBody>
    </xdr:sp>
    <xdr:clientData fLocksWithSheet="0"/>
  </xdr:twoCellAnchor>
  <xdr:twoCellAnchor>
    <xdr:from>
      <xdr:col>11</xdr:col>
      <xdr:colOff>276225</xdr:colOff>
      <xdr:row>30</xdr:row>
      <xdr:rowOff>57149</xdr:rowOff>
    </xdr:from>
    <xdr:to>
      <xdr:col>22</xdr:col>
      <xdr:colOff>400050</xdr:colOff>
      <xdr:row>45</xdr:row>
      <xdr:rowOff>114300</xdr:rowOff>
    </xdr:to>
    <xdr:sp macro="" textlink="">
      <xdr:nvSpPr>
        <xdr:cNvPr id="13" name="TextBox 12">
          <a:extLst>
            <a:ext uri="{FF2B5EF4-FFF2-40B4-BE49-F238E27FC236}">
              <a16:creationId xmlns:a16="http://schemas.microsoft.com/office/drawing/2014/main" id="{00000000-0008-0000-0100-00000D000000}"/>
            </a:ext>
          </a:extLst>
        </xdr:cNvPr>
        <xdr:cNvSpPr txBox="1"/>
      </xdr:nvSpPr>
      <xdr:spPr>
        <a:xfrm>
          <a:off x="8382000" y="6619874"/>
          <a:ext cx="7153275" cy="31908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OBTAIN </a:t>
          </a:r>
          <a:r>
            <a:rPr lang="en-US" sz="1100" i="1">
              <a:latin typeface="Times New Roman" panose="02020603050405020304" pitchFamily="18" charset="0"/>
              <a:cs typeface="Times New Roman" panose="02020603050405020304" pitchFamily="18" charset="0"/>
            </a:rPr>
            <a:t>PGA</a:t>
          </a:r>
          <a:r>
            <a:rPr lang="en-US" sz="1100" i="0">
              <a:latin typeface="Times New Roman" panose="02020603050405020304" pitchFamily="18" charset="0"/>
              <a:cs typeface="Times New Roman" panose="02020603050405020304" pitchFamily="18" charset="0"/>
            </a:rPr>
            <a:t> AND </a:t>
          </a:r>
          <a:r>
            <a:rPr lang="en-US" sz="1100" i="1">
              <a:latin typeface="Times New Roman" panose="02020603050405020304" pitchFamily="18" charset="0"/>
              <a:cs typeface="Times New Roman" panose="02020603050405020304" pitchFamily="18" charset="0"/>
            </a:rPr>
            <a:t>M</a:t>
          </a:r>
          <a:r>
            <a:rPr lang="en-US" sz="1100" i="1" baseline="-25000">
              <a:latin typeface="Times New Roman" panose="02020603050405020304" pitchFamily="18" charset="0"/>
              <a:cs typeface="Times New Roman" panose="02020603050405020304" pitchFamily="18" charset="0"/>
            </a:rPr>
            <a:t>W </a:t>
          </a:r>
          <a:r>
            <a:rPr lang="en-US" sz="1100" i="1" baseline="0">
              <a:latin typeface="Times New Roman" panose="02020603050405020304" pitchFamily="18" charset="0"/>
              <a:cs typeface="Times New Roman" panose="02020603050405020304" pitchFamily="18" charset="0"/>
            </a:rPr>
            <a:t> </a:t>
          </a:r>
          <a:r>
            <a:rPr lang="en-US" sz="1100" i="0" baseline="0">
              <a:latin typeface="Times New Roman" panose="02020603050405020304" pitchFamily="18" charset="0"/>
              <a:cs typeface="Times New Roman" panose="02020603050405020304" pitchFamily="18" charset="0"/>
            </a:rPr>
            <a:t>THROUGH USGS INTERACTIVE DEAGGREGATION WEBSITE</a:t>
          </a:r>
          <a:r>
            <a:rPr lang="en-US" sz="1100" baseline="0">
              <a:latin typeface="Times New Roman" panose="02020603050405020304" pitchFamily="18" charset="0"/>
              <a:cs typeface="Times New Roman" panose="02020603050405020304" pitchFamily="18" charset="0"/>
            </a:rPr>
            <a:t>:</a:t>
          </a:r>
        </a:p>
        <a:p>
          <a:r>
            <a:rPr lang="en-US" sz="1100" baseline="0">
              <a:latin typeface="Times New Roman" panose="02020603050405020304" pitchFamily="18" charset="0"/>
              <a:cs typeface="Times New Roman" panose="02020603050405020304" pitchFamily="18" charset="0"/>
            </a:rPr>
            <a:t>1) Go to https://earthquake.usgs.gov/hazards/interactive/ by typing URL in web browser or clicking on blue button below:</a:t>
          </a:r>
        </a:p>
        <a:p>
          <a:endParaRPr lang="en-US" sz="1100" baseline="0">
            <a:latin typeface="Times New Roman" panose="02020603050405020304" pitchFamily="18" charset="0"/>
            <a:cs typeface="Times New Roman" panose="02020603050405020304" pitchFamily="18" charset="0"/>
          </a:endParaRPr>
        </a:p>
        <a:p>
          <a:endParaRPr lang="en-US" sz="1100" baseline="0">
            <a:latin typeface="Times New Roman" panose="02020603050405020304" pitchFamily="18" charset="0"/>
            <a:cs typeface="Times New Roman" panose="02020603050405020304" pitchFamily="18" charset="0"/>
          </a:endParaRPr>
        </a:p>
        <a:p>
          <a:endParaRPr lang="en-US" sz="1100" baseline="0">
            <a:latin typeface="Times New Roman" panose="02020603050405020304" pitchFamily="18" charset="0"/>
            <a:cs typeface="Times New Roman" panose="02020603050405020304" pitchFamily="18" charset="0"/>
          </a:endParaRPr>
        </a:p>
        <a:p>
          <a:r>
            <a:rPr lang="en-US" sz="1100" b="0" i="0">
              <a:solidFill>
                <a:schemeClr val="dk1"/>
              </a:solidFill>
              <a:effectLst/>
              <a:latin typeface="Times New Roman" panose="02020603050405020304" pitchFamily="18" charset="0"/>
              <a:ea typeface="+mn-ea"/>
              <a:cs typeface="Times New Roman" panose="02020603050405020304" pitchFamily="18" charset="0"/>
            </a:rPr>
            <a:t>	</a:t>
          </a:r>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2) In the "Input" section, select a model from the "Edition" dropdown menu. You must select "Dynamic: Alaska 2007", "Dynamic: Conterminuous U.S. 2008", or "Dynamic: Conterminous U.S. 2014".</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3) Enter Latitude and Longitude of site or choose location using a map.</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4) Site Class must reflect a shear wave velocity of 760 m/s; select "760 m/s (B/C boundary)" from the "Site Class" drop down menu.</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5)Spectral Period must be set at "Peak ground acceleration".</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b="0" i="0" baseline="0">
              <a:solidFill>
                <a:schemeClr val="dk1"/>
              </a:solidFill>
              <a:effectLst/>
              <a:latin typeface="Times New Roman" panose="02020603050405020304" pitchFamily="18" charset="0"/>
              <a:ea typeface="+mn-ea"/>
              <a:cs typeface="Times New Roman" panose="02020603050405020304" pitchFamily="18" charset="0"/>
            </a:rPr>
            <a:t>6) Enter appropriate Time Horizon (Return Period) of 475, 1033, or 2475 years.</a:t>
          </a:r>
        </a:p>
        <a:p>
          <a:endParaRPr lang="en-US" sz="1100" b="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100">
              <a:latin typeface="Times New Roman" panose="02020603050405020304" pitchFamily="18" charset="0"/>
              <a:cs typeface="Times New Roman" panose="02020603050405020304" pitchFamily="18" charset="0"/>
            </a:rPr>
            <a:t>7)Scroll down to "Deaggregation"</a:t>
          </a:r>
          <a:r>
            <a:rPr lang="en-US" sz="1100" baseline="0">
              <a:latin typeface="Times New Roman" panose="02020603050405020304" pitchFamily="18" charset="0"/>
              <a:cs typeface="Times New Roman" panose="02020603050405020304" pitchFamily="18" charset="0"/>
            </a:rPr>
            <a:t> section and click "Compute Deaggregation".</a:t>
          </a:r>
          <a:endParaRPr lang="en-US" sz="1100">
            <a:latin typeface="Times New Roman" panose="02020603050405020304" pitchFamily="18" charset="0"/>
            <a:cs typeface="Times New Roman" panose="02020603050405020304" pitchFamily="18" charset="0"/>
          </a:endParaRPr>
        </a:p>
      </xdr:txBody>
    </xdr:sp>
    <xdr:clientData/>
  </xdr:twoCellAnchor>
  <xdr:twoCellAnchor editAs="oneCell">
    <xdr:from>
      <xdr:col>15</xdr:col>
      <xdr:colOff>542925</xdr:colOff>
      <xdr:row>32</xdr:row>
      <xdr:rowOff>57150</xdr:rowOff>
    </xdr:from>
    <xdr:to>
      <xdr:col>17</xdr:col>
      <xdr:colOff>676275</xdr:colOff>
      <xdr:row>34</xdr:row>
      <xdr:rowOff>171450</xdr:rowOff>
    </xdr:to>
    <xdr:sp macro="" textlink="">
      <xdr:nvSpPr>
        <xdr:cNvPr id="14" name="Rectangle 13">
          <a:hlinkClick xmlns:r="http://schemas.openxmlformats.org/officeDocument/2006/relationships" r:id="rId2"/>
          <a:extLst>
            <a:ext uri="{FF2B5EF4-FFF2-40B4-BE49-F238E27FC236}">
              <a16:creationId xmlns:a16="http://schemas.microsoft.com/office/drawing/2014/main" id="{00000000-0008-0000-0100-00000E000000}"/>
            </a:ext>
          </a:extLst>
        </xdr:cNvPr>
        <xdr:cNvSpPr/>
      </xdr:nvSpPr>
      <xdr:spPr>
        <a:xfrm>
          <a:off x="10991850" y="7019925"/>
          <a:ext cx="1504950" cy="514350"/>
        </a:xfrm>
        <a:prstGeom prst="rect">
          <a:avLst/>
        </a:prstGeom>
        <a:solidFill>
          <a:srgbClr val="00CCFF"/>
        </a:solidFill>
        <a:ln w="12700" cap="flat" cmpd="sng" algn="ctr">
          <a:solidFill>
            <a:srgbClr val="33CCCC"/>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Times New Roman" panose="02020603050405020304" pitchFamily="18" charset="0"/>
              <a:cs typeface="Times New Roman" panose="02020603050405020304" pitchFamily="18" charset="0"/>
            </a:rPr>
            <a:t>USGS Interactive Deaggregation Website</a:t>
          </a:r>
        </a:p>
      </xdr:txBody>
    </xdr: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25</xdr:col>
      <xdr:colOff>323850</xdr:colOff>
      <xdr:row>5</xdr:row>
      <xdr:rowOff>123825</xdr:rowOff>
    </xdr:from>
    <xdr:to>
      <xdr:col>28</xdr:col>
      <xdr:colOff>190500</xdr:colOff>
      <xdr:row>23</xdr:row>
      <xdr:rowOff>0</xdr:rowOff>
    </xdr:to>
    <xdr:graphicFrame macro="">
      <xdr:nvGraphicFramePr>
        <xdr:cNvPr id="34" name="Det_PL_chart">
          <a:extLst>
            <a:ext uri="{FF2B5EF4-FFF2-40B4-BE49-F238E27FC236}">
              <a16:creationId xmlns:a16="http://schemas.microsoft.com/office/drawing/2014/main" id="{00000000-0008-0000-0200-00002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323850</xdr:colOff>
      <xdr:row>5</xdr:row>
      <xdr:rowOff>114300</xdr:rowOff>
    </xdr:from>
    <xdr:to>
      <xdr:col>17</xdr:col>
      <xdr:colOff>228600</xdr:colOff>
      <xdr:row>22</xdr:row>
      <xdr:rowOff>171450</xdr:rowOff>
    </xdr:to>
    <xdr:graphicFrame macro="">
      <xdr:nvGraphicFramePr>
        <xdr:cNvPr id="33" name="Prob_PL_chart">
          <a:extLst>
            <a:ext uri="{FF2B5EF4-FFF2-40B4-BE49-F238E27FC236}">
              <a16:creationId xmlns:a16="http://schemas.microsoft.com/office/drawing/2014/main" id="{00000000-0008-0000-02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25</xdr:col>
      <xdr:colOff>352425</xdr:colOff>
      <xdr:row>5</xdr:row>
      <xdr:rowOff>123824</xdr:rowOff>
    </xdr:from>
    <xdr:to>
      <xdr:col>28</xdr:col>
      <xdr:colOff>171450</xdr:colOff>
      <xdr:row>22</xdr:row>
      <xdr:rowOff>180974</xdr:rowOff>
    </xdr:to>
    <xdr:graphicFrame macro="">
      <xdr:nvGraphicFramePr>
        <xdr:cNvPr id="17" name="Det_FSL_chart">
          <a:extLst>
            <a:ext uri="{FF2B5EF4-FFF2-40B4-BE49-F238E27FC236}">
              <a16:creationId xmlns:a16="http://schemas.microsoft.com/office/drawing/2014/main" id="{00000000-0008-0000-02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361950</xdr:colOff>
      <xdr:row>5</xdr:row>
      <xdr:rowOff>9524</xdr:rowOff>
    </xdr:from>
    <xdr:to>
      <xdr:col>17</xdr:col>
      <xdr:colOff>161925</xdr:colOff>
      <xdr:row>22</xdr:row>
      <xdr:rowOff>123825</xdr:rowOff>
    </xdr:to>
    <xdr:graphicFrame macro="">
      <xdr:nvGraphicFramePr>
        <xdr:cNvPr id="13" name="Prob_FSL_chart">
          <a:extLst>
            <a:ext uri="{FF2B5EF4-FFF2-40B4-BE49-F238E27FC236}">
              <a16:creationId xmlns:a16="http://schemas.microsoft.com/office/drawing/2014/main" id="{00000000-0008-0000-02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66674</xdr:colOff>
      <xdr:row>5</xdr:row>
      <xdr:rowOff>114298</xdr:rowOff>
    </xdr:from>
    <xdr:to>
      <xdr:col>11</xdr:col>
      <xdr:colOff>619123</xdr:colOff>
      <xdr:row>22</xdr:row>
      <xdr:rowOff>171448</xdr:rowOff>
    </xdr:to>
    <xdr:graphicFrame macro="">
      <xdr:nvGraphicFramePr>
        <xdr:cNvPr id="8" name="Chart 7">
          <a:extLst>
            <a:ext uri="{FF2B5EF4-FFF2-40B4-BE49-F238E27FC236}">
              <a16:creationId xmlns:a16="http://schemas.microsoft.com/office/drawing/2014/main" id="{00000000-0008-0000-02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533401</xdr:colOff>
      <xdr:row>5</xdr:row>
      <xdr:rowOff>123824</xdr:rowOff>
    </xdr:from>
    <xdr:to>
      <xdr:col>14</xdr:col>
      <xdr:colOff>409575</xdr:colOff>
      <xdr:row>22</xdr:row>
      <xdr:rowOff>180974</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17</xdr:col>
      <xdr:colOff>152400</xdr:colOff>
      <xdr:row>4</xdr:row>
      <xdr:rowOff>47626</xdr:rowOff>
    </xdr:from>
    <xdr:to>
      <xdr:col>19</xdr:col>
      <xdr:colOff>457200</xdr:colOff>
      <xdr:row>22</xdr:row>
      <xdr:rowOff>171450</xdr:rowOff>
    </xdr:to>
    <xdr:graphicFrame macro="">
      <xdr:nvGraphicFramePr>
        <xdr:cNvPr id="14" name="Chart 13">
          <a:extLst>
            <a:ext uri="{FF2B5EF4-FFF2-40B4-BE49-F238E27FC236}">
              <a16:creationId xmlns:a16="http://schemas.microsoft.com/office/drawing/2014/main" id="{00000000-0008-0000-02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20</xdr:col>
      <xdr:colOff>23812</xdr:colOff>
      <xdr:row>5</xdr:row>
      <xdr:rowOff>114298</xdr:rowOff>
    </xdr:from>
    <xdr:to>
      <xdr:col>22</xdr:col>
      <xdr:colOff>619125</xdr:colOff>
      <xdr:row>22</xdr:row>
      <xdr:rowOff>171448</xdr:rowOff>
    </xdr:to>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22</xdr:col>
      <xdr:colOff>533401</xdr:colOff>
      <xdr:row>5</xdr:row>
      <xdr:rowOff>123824</xdr:rowOff>
    </xdr:from>
    <xdr:to>
      <xdr:col>25</xdr:col>
      <xdr:colOff>409575</xdr:colOff>
      <xdr:row>22</xdr:row>
      <xdr:rowOff>180974</xdr:rowOff>
    </xdr:to>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28</xdr:col>
      <xdr:colOff>152400</xdr:colOff>
      <xdr:row>4</xdr:row>
      <xdr:rowOff>133350</xdr:rowOff>
    </xdr:from>
    <xdr:to>
      <xdr:col>30</xdr:col>
      <xdr:colOff>457200</xdr:colOff>
      <xdr:row>22</xdr:row>
      <xdr:rowOff>171449</xdr:rowOff>
    </xdr:to>
    <xdr:graphicFrame macro="">
      <xdr:nvGraphicFramePr>
        <xdr:cNvPr id="18" name="Chart 17">
          <a:extLst>
            <a:ext uri="{FF2B5EF4-FFF2-40B4-BE49-F238E27FC236}">
              <a16:creationId xmlns:a16="http://schemas.microsoft.com/office/drawing/2014/main" id="{00000000-0008-0000-02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200025</xdr:colOff>
      <xdr:row>1</xdr:row>
      <xdr:rowOff>38100</xdr:rowOff>
    </xdr:from>
    <xdr:to>
      <xdr:col>8</xdr:col>
      <xdr:colOff>603106</xdr:colOff>
      <xdr:row>34</xdr:row>
      <xdr:rowOff>171450</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85825" y="1238250"/>
          <a:ext cx="5203681" cy="6734175"/>
        </a:xfrm>
        <a:prstGeom prst="rect">
          <a:avLst/>
        </a:prstGeom>
      </xdr:spPr>
    </xdr:pic>
    <xdr:clientData/>
  </xdr:twoCellAnchor>
  <xdr:twoCellAnchor>
    <xdr:from>
      <xdr:col>7</xdr:col>
      <xdr:colOff>295275</xdr:colOff>
      <xdr:row>14</xdr:row>
      <xdr:rowOff>85725</xdr:rowOff>
    </xdr:from>
    <xdr:to>
      <xdr:col>11</xdr:col>
      <xdr:colOff>0</xdr:colOff>
      <xdr:row>28</xdr:row>
      <xdr:rowOff>28575</xdr:rowOff>
    </xdr:to>
    <xdr:cxnSp macro="">
      <xdr:nvCxnSpPr>
        <xdr:cNvPr id="9" name="Straight Arrow Connector 8">
          <a:extLst>
            <a:ext uri="{FF2B5EF4-FFF2-40B4-BE49-F238E27FC236}">
              <a16:creationId xmlns:a16="http://schemas.microsoft.com/office/drawing/2014/main" id="{00000000-0008-0000-0300-000009000000}"/>
            </a:ext>
          </a:extLst>
        </xdr:cNvPr>
        <xdr:cNvCxnSpPr/>
      </xdr:nvCxnSpPr>
      <xdr:spPr>
        <a:xfrm flipH="1">
          <a:off x="5095875" y="3886200"/>
          <a:ext cx="2447925" cy="2743200"/>
        </a:xfrm>
        <a:prstGeom prst="straightConnector1">
          <a:avLst/>
        </a:prstGeom>
        <a:ln w="190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0</xdr:colOff>
      <xdr:row>15</xdr:row>
      <xdr:rowOff>104773</xdr:rowOff>
    </xdr:from>
    <xdr:to>
      <xdr:col>17</xdr:col>
      <xdr:colOff>457200</xdr:colOff>
      <xdr:row>29</xdr:row>
      <xdr:rowOff>190500</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7543800" y="3105148"/>
          <a:ext cx="4572000" cy="28860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latin typeface="Times New Roman" panose="02020603050405020304" pitchFamily="18" charset="0"/>
              <a:cs typeface="Times New Roman" panose="02020603050405020304" pitchFamily="18" charset="0"/>
            </a:rPr>
            <a:t>To identify an</a:t>
          </a:r>
          <a:r>
            <a:rPr lang="en-US" sz="1100" b="1" baseline="0">
              <a:latin typeface="Times New Roman" panose="02020603050405020304" pitchFamily="18" charset="0"/>
              <a:cs typeface="Times New Roman" panose="02020603050405020304" pitchFamily="18" charset="0"/>
            </a:rPr>
            <a:t> </a:t>
          </a:r>
          <a:r>
            <a:rPr lang="en-US" sz="1100" b="1">
              <a:latin typeface="Times New Roman" panose="02020603050405020304" pitchFamily="18" charset="0"/>
              <a:cs typeface="Times New Roman" panose="02020603050405020304" pitchFamily="18" charset="0"/>
            </a:rPr>
            <a:t>appropriate reference map:</a:t>
          </a:r>
        </a:p>
        <a:p>
          <a:endParaRPr lang="en-US" sz="1100" b="0">
            <a:latin typeface="Times New Roman" panose="02020603050405020304" pitchFamily="18" charset="0"/>
            <a:cs typeface="Times New Roman" panose="02020603050405020304" pitchFamily="18" charset="0"/>
          </a:endParaRPr>
        </a:p>
        <a:p>
          <a:pPr lvl="0"/>
          <a:r>
            <a:rPr lang="en-US" sz="1100">
              <a:solidFill>
                <a:schemeClr val="dk1"/>
              </a:solidFill>
              <a:effectLst/>
              <a:latin typeface="Times New Roman" panose="02020603050405020304" pitchFamily="18" charset="0"/>
              <a:ea typeface="+mn-ea"/>
              <a:cs typeface="Times New Roman" panose="02020603050405020304" pitchFamily="18" charset="0"/>
            </a:rPr>
            <a:t>1) Select an appropriate return period (</a:t>
          </a:r>
          <a:r>
            <a:rPr lang="en-US" sz="1100" i="1">
              <a:solidFill>
                <a:schemeClr val="dk1"/>
              </a:solidFill>
              <a:effectLst/>
              <a:latin typeface="Times New Roman" panose="02020603050405020304" pitchFamily="18" charset="0"/>
              <a:ea typeface="+mn-ea"/>
              <a:cs typeface="Times New Roman" panose="02020603050405020304" pitchFamily="18" charset="0"/>
            </a:rPr>
            <a:t>T</a:t>
          </a:r>
          <a:r>
            <a:rPr lang="en-US" sz="1100" i="1" baseline="-25000">
              <a:solidFill>
                <a:schemeClr val="dk1"/>
              </a:solidFill>
              <a:effectLst/>
              <a:latin typeface="Times New Roman" panose="02020603050405020304" pitchFamily="18" charset="0"/>
              <a:ea typeface="+mn-ea"/>
              <a:cs typeface="Times New Roman" panose="02020603050405020304" pitchFamily="18" charset="0"/>
            </a:rPr>
            <a:t>R</a:t>
          </a:r>
          <a:r>
            <a:rPr lang="en-US" sz="1100">
              <a:solidFill>
                <a:schemeClr val="dk1"/>
              </a:solidFill>
              <a:effectLst/>
              <a:latin typeface="Times New Roman" panose="02020603050405020304" pitchFamily="18" charset="0"/>
              <a:ea typeface="+mn-ea"/>
              <a:cs typeface="Times New Roman" panose="02020603050405020304" pitchFamily="18" charset="0"/>
            </a:rPr>
            <a:t>) for your project (this may depend on the intended use of the building, code requirements, etc.).  Provided maps are available</a:t>
          </a:r>
          <a:r>
            <a:rPr lang="en-US" sz="1100" baseline="0">
              <a:solidFill>
                <a:schemeClr val="dk1"/>
              </a:solidFill>
              <a:effectLst/>
              <a:latin typeface="Times New Roman" panose="02020603050405020304" pitchFamily="18" charset="0"/>
              <a:ea typeface="+mn-ea"/>
              <a:cs typeface="Times New Roman" panose="02020603050405020304" pitchFamily="18" charset="0"/>
            </a:rPr>
            <a:t> for three return periods: 475, 1033, and 2475 years.</a:t>
          </a:r>
          <a:endParaRPr lang="en-US" sz="1100">
            <a:solidFill>
              <a:schemeClr val="dk1"/>
            </a:solidFill>
            <a:effectLst/>
            <a:latin typeface="Times New Roman" panose="02020603050405020304" pitchFamily="18" charset="0"/>
            <a:ea typeface="+mn-ea"/>
            <a:cs typeface="Times New Roman" panose="02020603050405020304" pitchFamily="18" charset="0"/>
          </a:endParaRPr>
        </a:p>
        <a:p>
          <a:endParaRPr lang="en-US" sz="1100" b="0">
            <a:latin typeface="Times New Roman" panose="02020603050405020304" pitchFamily="18" charset="0"/>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Times New Roman" panose="02020603050405020304" pitchFamily="18" charset="0"/>
              <a:ea typeface="+mn-ea"/>
              <a:cs typeface="Times New Roman" panose="02020603050405020304" pitchFamily="18" charset="0"/>
            </a:rPr>
            <a:t>To retrieve the mapped reference value:</a:t>
          </a:r>
          <a:endParaRPr lang="en-US" sz="1100" b="0">
            <a:latin typeface="Times New Roman" panose="02020603050405020304" pitchFamily="18" charset="0"/>
            <a:cs typeface="Times New Roman" panose="02020603050405020304" pitchFamily="18" charset="0"/>
          </a:endParaRPr>
        </a:p>
        <a:p>
          <a:endParaRPr lang="en-US" sz="1100" b="0">
            <a:latin typeface="Times New Roman" panose="02020603050405020304" pitchFamily="18" charset="0"/>
            <a:cs typeface="Times New Roman" panose="02020603050405020304" pitchFamily="18" charset="0"/>
          </a:endParaRPr>
        </a:p>
        <a:p>
          <a:r>
            <a:rPr lang="en-US" sz="1100" b="0">
              <a:latin typeface="Times New Roman" panose="02020603050405020304" pitchFamily="18" charset="0"/>
              <a:cs typeface="Times New Roman" panose="02020603050405020304" pitchFamily="18" charset="0"/>
            </a:rPr>
            <a:t>There</a:t>
          </a:r>
          <a:r>
            <a:rPr lang="en-US" sz="1100" b="0" baseline="0">
              <a:latin typeface="Times New Roman" panose="02020603050405020304" pitchFamily="18" charset="0"/>
              <a:cs typeface="Times New Roman" panose="02020603050405020304" pitchFamily="18" charset="0"/>
            </a:rPr>
            <a:t> are two ways to retrieve the mapped value: </a:t>
          </a:r>
        </a:p>
        <a:p>
          <a:endParaRPr lang="en-US" sz="1100" b="0" baseline="0">
            <a:latin typeface="Times New Roman" panose="02020603050405020304" pitchFamily="18" charset="0"/>
            <a:cs typeface="Times New Roman" panose="02020603050405020304" pitchFamily="18" charset="0"/>
          </a:endParaRPr>
        </a:p>
        <a:p>
          <a:r>
            <a:rPr lang="en-US" sz="1100" b="0" baseline="0">
              <a:latin typeface="Times New Roman" panose="02020603050405020304" pitchFamily="18" charset="0"/>
              <a:cs typeface="Times New Roman" panose="02020603050405020304" pitchFamily="18" charset="0"/>
            </a:rPr>
            <a:t>a) use the printed map and visually interpolate between the two nearest contours to the site of interest</a:t>
          </a:r>
        </a:p>
        <a:p>
          <a:endParaRPr lang="en-US" sz="1100" b="0" baseline="0">
            <a:latin typeface="Times New Roman" panose="02020603050405020304" pitchFamily="18" charset="0"/>
            <a:cs typeface="Times New Roman" panose="02020603050405020304" pitchFamily="18" charset="0"/>
          </a:endParaRPr>
        </a:p>
        <a:p>
          <a:r>
            <a:rPr lang="en-US" sz="1100" b="0" baseline="0">
              <a:latin typeface="Times New Roman" panose="02020603050405020304" pitchFamily="18" charset="0"/>
              <a:cs typeface="Times New Roman" panose="02020603050405020304" pitchFamily="18" charset="0"/>
            </a:rPr>
            <a:t>OR</a:t>
          </a:r>
        </a:p>
        <a:p>
          <a:endParaRPr lang="en-US" sz="1100" b="0" baseline="0">
            <a:latin typeface="Times New Roman" panose="02020603050405020304" pitchFamily="18" charset="0"/>
            <a:cs typeface="Times New Roman" panose="02020603050405020304" pitchFamily="18" charset="0"/>
          </a:endParaRPr>
        </a:p>
        <a:p>
          <a:r>
            <a:rPr lang="en-US" sz="1100" b="0" baseline="0">
              <a:latin typeface="Times New Roman" panose="02020603050405020304" pitchFamily="18" charset="0"/>
              <a:cs typeface="Times New Roman" panose="02020603050405020304" pitchFamily="18" charset="0"/>
            </a:rPr>
            <a:t>b) go to http://tethys.byu.edu/apps/lfhazard/ and retrieve appropriate reference value by using the interactive map database</a:t>
          </a:r>
        </a:p>
        <a:p>
          <a:endParaRPr lang="en-US" sz="1100" b="0">
            <a:latin typeface="Times New Roman" panose="02020603050405020304" pitchFamily="18"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35</xdr:col>
      <xdr:colOff>0</xdr:colOff>
      <xdr:row>41</xdr:row>
      <xdr:rowOff>0</xdr:rowOff>
    </xdr:from>
    <xdr:to>
      <xdr:col>39</xdr:col>
      <xdr:colOff>180609</xdr:colOff>
      <xdr:row>60</xdr:row>
      <xdr:rowOff>113806</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22659975" y="8486775"/>
          <a:ext cx="2923809" cy="3952381"/>
        </a:xfrm>
        <a:prstGeom prst="rect">
          <a:avLst/>
        </a:prstGeom>
      </xdr:spPr>
    </xdr:pic>
    <xdr:clientData/>
  </xdr:twoCellAnchor>
  <xdr:twoCellAnchor>
    <xdr:from>
      <xdr:col>34</xdr:col>
      <xdr:colOff>676274</xdr:colOff>
      <xdr:row>40</xdr:row>
      <xdr:rowOff>200025</xdr:rowOff>
    </xdr:from>
    <xdr:to>
      <xdr:col>39</xdr:col>
      <xdr:colOff>323849</xdr:colOff>
      <xdr:row>60</xdr:row>
      <xdr:rowOff>161925</xdr:rowOff>
    </xdr:to>
    <xdr:graphicFrame macro="">
      <xdr:nvGraphicFramePr>
        <xdr:cNvPr id="3" name="Chart 2">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0</xdr:colOff>
          <xdr:row>12</xdr:row>
          <xdr:rowOff>104775</xdr:rowOff>
        </xdr:from>
        <xdr:to>
          <xdr:col>9</xdr:col>
          <xdr:colOff>533400</xdr:colOff>
          <xdr:row>13</xdr:row>
          <xdr:rowOff>180975</xdr:rowOff>
        </xdr:to>
        <xdr:sp macro="" textlink="">
          <xdr:nvSpPr>
            <xdr:cNvPr id="3080" name="Object 8" hidden="1">
              <a:extLst>
                <a:ext uri="{63B3BB69-23CF-44E3-9099-C40C66FF867C}">
                  <a14:compatExt spid="_x0000_s3080"/>
                </a:ext>
                <a:ext uri="{FF2B5EF4-FFF2-40B4-BE49-F238E27FC236}">
                  <a16:creationId xmlns:a16="http://schemas.microsoft.com/office/drawing/2014/main" id="{00000000-0008-0000-0800-0000080C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18</xdr:row>
          <xdr:rowOff>180975</xdr:rowOff>
        </xdr:from>
        <xdr:to>
          <xdr:col>9</xdr:col>
          <xdr:colOff>381000</xdr:colOff>
          <xdr:row>20</xdr:row>
          <xdr:rowOff>95250</xdr:rowOff>
        </xdr:to>
        <xdr:sp macro="" textlink="">
          <xdr:nvSpPr>
            <xdr:cNvPr id="3081" name="Object 9" hidden="1">
              <a:extLst>
                <a:ext uri="{63B3BB69-23CF-44E3-9099-C40C66FF867C}">
                  <a14:compatExt spid="_x0000_s3081"/>
                </a:ext>
                <a:ext uri="{FF2B5EF4-FFF2-40B4-BE49-F238E27FC236}">
                  <a16:creationId xmlns:a16="http://schemas.microsoft.com/office/drawing/2014/main" id="{00000000-0008-0000-0800-0000090C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14</xdr:row>
          <xdr:rowOff>180975</xdr:rowOff>
        </xdr:from>
        <xdr:to>
          <xdr:col>13</xdr:col>
          <xdr:colOff>295275</xdr:colOff>
          <xdr:row>18</xdr:row>
          <xdr:rowOff>19050</xdr:rowOff>
        </xdr:to>
        <xdr:sp macro="" textlink="">
          <xdr:nvSpPr>
            <xdr:cNvPr id="3082" name="Object 10" hidden="1">
              <a:extLst>
                <a:ext uri="{63B3BB69-23CF-44E3-9099-C40C66FF867C}">
                  <a14:compatExt spid="_x0000_s3082"/>
                </a:ext>
                <a:ext uri="{FF2B5EF4-FFF2-40B4-BE49-F238E27FC236}">
                  <a16:creationId xmlns:a16="http://schemas.microsoft.com/office/drawing/2014/main" id="{00000000-0008-0000-0800-00000A0C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2</xdr:row>
          <xdr:rowOff>104775</xdr:rowOff>
        </xdr:from>
        <xdr:to>
          <xdr:col>13</xdr:col>
          <xdr:colOff>57150</xdr:colOff>
          <xdr:row>5</xdr:row>
          <xdr:rowOff>76200</xdr:rowOff>
        </xdr:to>
        <xdr:sp macro="" textlink="">
          <xdr:nvSpPr>
            <xdr:cNvPr id="3083" name="Object 11" hidden="1">
              <a:extLst>
                <a:ext uri="{63B3BB69-23CF-44E3-9099-C40C66FF867C}">
                  <a14:compatExt spid="_x0000_s3083"/>
                </a:ext>
                <a:ext uri="{FF2B5EF4-FFF2-40B4-BE49-F238E27FC236}">
                  <a16:creationId xmlns:a16="http://schemas.microsoft.com/office/drawing/2014/main" id="{00000000-0008-0000-0800-00000B0C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6</xdr:row>
          <xdr:rowOff>0</xdr:rowOff>
        </xdr:from>
        <xdr:to>
          <xdr:col>9</xdr:col>
          <xdr:colOff>142875</xdr:colOff>
          <xdr:row>7</xdr:row>
          <xdr:rowOff>38100</xdr:rowOff>
        </xdr:to>
        <xdr:sp macro="" textlink="">
          <xdr:nvSpPr>
            <xdr:cNvPr id="3084" name="Object 12" hidden="1">
              <a:extLst>
                <a:ext uri="{63B3BB69-23CF-44E3-9099-C40C66FF867C}">
                  <a14:compatExt spid="_x0000_s3084"/>
                </a:ext>
                <a:ext uri="{FF2B5EF4-FFF2-40B4-BE49-F238E27FC236}">
                  <a16:creationId xmlns:a16="http://schemas.microsoft.com/office/drawing/2014/main" id="{00000000-0008-0000-0800-00000C0C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8</xdr:row>
          <xdr:rowOff>0</xdr:rowOff>
        </xdr:from>
        <xdr:to>
          <xdr:col>8</xdr:col>
          <xdr:colOff>219075</xdr:colOff>
          <xdr:row>9</xdr:row>
          <xdr:rowOff>47625</xdr:rowOff>
        </xdr:to>
        <xdr:sp macro="" textlink="">
          <xdr:nvSpPr>
            <xdr:cNvPr id="3085" name="Object 13" hidden="1">
              <a:extLst>
                <a:ext uri="{63B3BB69-23CF-44E3-9099-C40C66FF867C}">
                  <a14:compatExt spid="_x0000_s3085"/>
                </a:ext>
                <a:ext uri="{FF2B5EF4-FFF2-40B4-BE49-F238E27FC236}">
                  <a16:creationId xmlns:a16="http://schemas.microsoft.com/office/drawing/2014/main" id="{00000000-0008-0000-0800-00000D0C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9525</xdr:colOff>
          <xdr:row>4</xdr:row>
          <xdr:rowOff>57150</xdr:rowOff>
        </xdr:from>
        <xdr:to>
          <xdr:col>16</xdr:col>
          <xdr:colOff>257175</xdr:colOff>
          <xdr:row>6</xdr:row>
          <xdr:rowOff>180975</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900-00000154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19050</xdr:colOff>
          <xdr:row>7</xdr:row>
          <xdr:rowOff>142875</xdr:rowOff>
        </xdr:from>
        <xdr:to>
          <xdr:col>10</xdr:col>
          <xdr:colOff>0</xdr:colOff>
          <xdr:row>10</xdr:row>
          <xdr:rowOff>66675</xdr:rowOff>
        </xdr:to>
        <xdr:sp macro="" textlink="">
          <xdr:nvSpPr>
            <xdr:cNvPr id="21506" name="Object 2" hidden="1">
              <a:extLst>
                <a:ext uri="{63B3BB69-23CF-44E3-9099-C40C66FF867C}">
                  <a14:compatExt spid="_x0000_s21506"/>
                </a:ext>
                <a:ext uri="{FF2B5EF4-FFF2-40B4-BE49-F238E27FC236}">
                  <a16:creationId xmlns:a16="http://schemas.microsoft.com/office/drawing/2014/main" id="{00000000-0008-0000-0900-00000254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9525</xdr:colOff>
          <xdr:row>16</xdr:row>
          <xdr:rowOff>95250</xdr:rowOff>
        </xdr:from>
        <xdr:to>
          <xdr:col>8</xdr:col>
          <xdr:colOff>85725</xdr:colOff>
          <xdr:row>17</xdr:row>
          <xdr:rowOff>104775</xdr:rowOff>
        </xdr:to>
        <xdr:sp macro="" textlink="">
          <xdr:nvSpPr>
            <xdr:cNvPr id="21507" name="Object 3" hidden="1">
              <a:extLst>
                <a:ext uri="{63B3BB69-23CF-44E3-9099-C40C66FF867C}">
                  <a14:compatExt spid="_x0000_s21507"/>
                </a:ext>
                <a:ext uri="{FF2B5EF4-FFF2-40B4-BE49-F238E27FC236}">
                  <a16:creationId xmlns:a16="http://schemas.microsoft.com/office/drawing/2014/main" id="{00000000-0008-0000-0900-0000035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21</xdr:row>
          <xdr:rowOff>114300</xdr:rowOff>
        </xdr:from>
        <xdr:to>
          <xdr:col>11</xdr:col>
          <xdr:colOff>238125</xdr:colOff>
          <xdr:row>23</xdr:row>
          <xdr:rowOff>57150</xdr:rowOff>
        </xdr:to>
        <xdr:sp macro="" textlink="">
          <xdr:nvSpPr>
            <xdr:cNvPr id="21508" name="Object 4" hidden="1">
              <a:extLst>
                <a:ext uri="{63B3BB69-23CF-44E3-9099-C40C66FF867C}">
                  <a14:compatExt spid="_x0000_s21508"/>
                </a:ext>
                <a:ext uri="{FF2B5EF4-FFF2-40B4-BE49-F238E27FC236}">
                  <a16:creationId xmlns:a16="http://schemas.microsoft.com/office/drawing/2014/main" id="{00000000-0008-0000-0900-0000045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9525</xdr:colOff>
          <xdr:row>18</xdr:row>
          <xdr:rowOff>0</xdr:rowOff>
        </xdr:from>
        <xdr:to>
          <xdr:col>19</xdr:col>
          <xdr:colOff>466725</xdr:colOff>
          <xdr:row>21</xdr:row>
          <xdr:rowOff>57150</xdr:rowOff>
        </xdr:to>
        <xdr:sp macro="" textlink="">
          <xdr:nvSpPr>
            <xdr:cNvPr id="21509" name="Object 5" hidden="1">
              <a:extLst>
                <a:ext uri="{63B3BB69-23CF-44E3-9099-C40C66FF867C}">
                  <a14:compatExt spid="_x0000_s21509"/>
                </a:ext>
                <a:ext uri="{FF2B5EF4-FFF2-40B4-BE49-F238E27FC236}">
                  <a16:creationId xmlns:a16="http://schemas.microsoft.com/office/drawing/2014/main" id="{00000000-0008-0000-0900-0000055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9525</xdr:colOff>
          <xdr:row>35</xdr:row>
          <xdr:rowOff>57150</xdr:rowOff>
        </xdr:from>
        <xdr:to>
          <xdr:col>17</xdr:col>
          <xdr:colOff>295275</xdr:colOff>
          <xdr:row>36</xdr:row>
          <xdr:rowOff>190500</xdr:rowOff>
        </xdr:to>
        <xdr:sp macro="" textlink="">
          <xdr:nvSpPr>
            <xdr:cNvPr id="21510" name="Object 6" hidden="1">
              <a:extLst>
                <a:ext uri="{63B3BB69-23CF-44E3-9099-C40C66FF867C}">
                  <a14:compatExt spid="_x0000_s21510"/>
                </a:ext>
                <a:ext uri="{FF2B5EF4-FFF2-40B4-BE49-F238E27FC236}">
                  <a16:creationId xmlns:a16="http://schemas.microsoft.com/office/drawing/2014/main" id="{00000000-0008-0000-0900-00000654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19050</xdr:colOff>
          <xdr:row>37</xdr:row>
          <xdr:rowOff>190500</xdr:rowOff>
        </xdr:from>
        <xdr:to>
          <xdr:col>7</xdr:col>
          <xdr:colOff>228600</xdr:colOff>
          <xdr:row>39</xdr:row>
          <xdr:rowOff>76200</xdr:rowOff>
        </xdr:to>
        <xdr:sp macro="" textlink="">
          <xdr:nvSpPr>
            <xdr:cNvPr id="21511" name="Object 7" hidden="1">
              <a:extLst>
                <a:ext uri="{63B3BB69-23CF-44E3-9099-C40C66FF867C}">
                  <a14:compatExt spid="_x0000_s21511"/>
                </a:ext>
                <a:ext uri="{FF2B5EF4-FFF2-40B4-BE49-F238E27FC236}">
                  <a16:creationId xmlns:a16="http://schemas.microsoft.com/office/drawing/2014/main" id="{00000000-0008-0000-0900-000007540000}"/>
                </a:ext>
              </a:extLst>
            </xdr:cNvPr>
            <xdr:cNvSpPr/>
          </xdr:nvSpPr>
          <xdr:spPr bwMode="auto">
            <a:xfrm>
              <a:off x="0" y="0"/>
              <a:ext cx="0" cy="0"/>
            </a:xfrm>
            <a:prstGeom prst="rect">
              <a:avLst/>
            </a:prstGeom>
            <a:solidFill>
              <a:srgbClr val="FFFFFF"/>
            </a:solidFill>
            <a:ln w="9525">
              <a:solidFill>
                <a:srgbClr val="7F7F7F"/>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9525</xdr:colOff>
          <xdr:row>47</xdr:row>
          <xdr:rowOff>95250</xdr:rowOff>
        </xdr:from>
        <xdr:to>
          <xdr:col>8</xdr:col>
          <xdr:colOff>85725</xdr:colOff>
          <xdr:row>48</xdr:row>
          <xdr:rowOff>104775</xdr:rowOff>
        </xdr:to>
        <xdr:sp macro="" textlink="">
          <xdr:nvSpPr>
            <xdr:cNvPr id="21512" name="Object 8" hidden="1">
              <a:extLst>
                <a:ext uri="{63B3BB69-23CF-44E3-9099-C40C66FF867C}">
                  <a14:compatExt spid="_x0000_s21512"/>
                </a:ext>
                <a:ext uri="{FF2B5EF4-FFF2-40B4-BE49-F238E27FC236}">
                  <a16:creationId xmlns:a16="http://schemas.microsoft.com/office/drawing/2014/main" id="{00000000-0008-0000-0900-0000085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28575</xdr:colOff>
          <xdr:row>52</xdr:row>
          <xdr:rowOff>114300</xdr:rowOff>
        </xdr:from>
        <xdr:to>
          <xdr:col>11</xdr:col>
          <xdr:colOff>238125</xdr:colOff>
          <xdr:row>54</xdr:row>
          <xdr:rowOff>57150</xdr:rowOff>
        </xdr:to>
        <xdr:sp macro="" textlink="">
          <xdr:nvSpPr>
            <xdr:cNvPr id="21513" name="Object 9" hidden="1">
              <a:extLst>
                <a:ext uri="{63B3BB69-23CF-44E3-9099-C40C66FF867C}">
                  <a14:compatExt spid="_x0000_s21513"/>
                </a:ext>
                <a:ext uri="{FF2B5EF4-FFF2-40B4-BE49-F238E27FC236}">
                  <a16:creationId xmlns:a16="http://schemas.microsoft.com/office/drawing/2014/main" id="{00000000-0008-0000-0900-0000095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9525</xdr:colOff>
          <xdr:row>49</xdr:row>
          <xdr:rowOff>0</xdr:rowOff>
        </xdr:from>
        <xdr:to>
          <xdr:col>17</xdr:col>
          <xdr:colOff>657225</xdr:colOff>
          <xdr:row>52</xdr:row>
          <xdr:rowOff>47625</xdr:rowOff>
        </xdr:to>
        <xdr:sp macro="" textlink="">
          <xdr:nvSpPr>
            <xdr:cNvPr id="21514" name="Object 10" hidden="1">
              <a:extLst>
                <a:ext uri="{63B3BB69-23CF-44E3-9099-C40C66FF867C}">
                  <a14:compatExt spid="_x0000_s21514"/>
                </a:ext>
                <a:ext uri="{FF2B5EF4-FFF2-40B4-BE49-F238E27FC236}">
                  <a16:creationId xmlns:a16="http://schemas.microsoft.com/office/drawing/2014/main" id="{00000000-0008-0000-0900-00000A540000}"/>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19050</xdr:colOff>
      <xdr:row>43</xdr:row>
      <xdr:rowOff>171450</xdr:rowOff>
    </xdr:from>
    <xdr:to>
      <xdr:col>8</xdr:col>
      <xdr:colOff>665983</xdr:colOff>
      <xdr:row>60</xdr:row>
      <xdr:rowOff>85301</xdr:rowOff>
    </xdr:to>
    <xdr:pic>
      <xdr:nvPicPr>
        <xdr:cNvPr id="3" name="Picture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stretch>
          <a:fillRect/>
        </a:stretch>
      </xdr:blipFill>
      <xdr:spPr>
        <a:xfrm>
          <a:off x="19050" y="11134725"/>
          <a:ext cx="6133333" cy="3390476"/>
        </a:xfrm>
        <a:prstGeom prst="rect">
          <a:avLst/>
        </a:prstGeom>
      </xdr:spPr>
    </xdr:pic>
    <xdr:clientData/>
  </xdr:twoCellAnchor>
  <xdr:twoCellAnchor editAs="oneCell">
    <xdr:from>
      <xdr:col>0</xdr:col>
      <xdr:colOff>0</xdr:colOff>
      <xdr:row>60</xdr:row>
      <xdr:rowOff>95250</xdr:rowOff>
    </xdr:from>
    <xdr:to>
      <xdr:col>8</xdr:col>
      <xdr:colOff>637409</xdr:colOff>
      <xdr:row>68</xdr:row>
      <xdr:rowOff>199807</xdr:rowOff>
    </xdr:to>
    <xdr:pic>
      <xdr:nvPicPr>
        <xdr:cNvPr id="4" name="Picture 3">
          <a:extLst>
            <a:ext uri="{FF2B5EF4-FFF2-40B4-BE49-F238E27FC236}">
              <a16:creationId xmlns:a16="http://schemas.microsoft.com/office/drawing/2014/main" id="{00000000-0008-0000-0A00-000004000000}"/>
            </a:ext>
          </a:extLst>
        </xdr:cNvPr>
        <xdr:cNvPicPr>
          <a:picLocks noChangeAspect="1"/>
        </xdr:cNvPicPr>
      </xdr:nvPicPr>
      <xdr:blipFill rotWithShape="1">
        <a:blip xmlns:r="http://schemas.openxmlformats.org/officeDocument/2006/relationships" r:embed="rId2"/>
        <a:srcRect t="2187"/>
        <a:stretch/>
      </xdr:blipFill>
      <xdr:spPr>
        <a:xfrm>
          <a:off x="0" y="12734925"/>
          <a:ext cx="6123809" cy="1704757"/>
        </a:xfrm>
        <a:prstGeom prst="rect">
          <a:avLst/>
        </a:prstGeom>
      </xdr:spPr>
    </xdr:pic>
    <xdr:clientData/>
  </xdr:twoCellAnchor>
  <xdr:twoCellAnchor editAs="oneCell">
    <xdr:from>
      <xdr:col>0</xdr:col>
      <xdr:colOff>0</xdr:colOff>
      <xdr:row>69</xdr:row>
      <xdr:rowOff>161925</xdr:rowOff>
    </xdr:from>
    <xdr:to>
      <xdr:col>9</xdr:col>
      <xdr:colOff>46848</xdr:colOff>
      <xdr:row>102</xdr:row>
      <xdr:rowOff>142038</xdr:rowOff>
    </xdr:to>
    <xdr:pic>
      <xdr:nvPicPr>
        <xdr:cNvPr id="5" name="Picture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3"/>
        <a:stretch>
          <a:fillRect/>
        </a:stretch>
      </xdr:blipFill>
      <xdr:spPr>
        <a:xfrm>
          <a:off x="0" y="16325850"/>
          <a:ext cx="6219048" cy="6695238"/>
        </a:xfrm>
        <a:prstGeom prst="rect">
          <a:avLst/>
        </a:prstGeom>
      </xdr:spPr>
    </xdr:pic>
    <xdr:clientData/>
  </xdr:twoCellAnchor>
  <xdr:twoCellAnchor editAs="oneCell">
    <xdr:from>
      <xdr:col>9</xdr:col>
      <xdr:colOff>0</xdr:colOff>
      <xdr:row>69</xdr:row>
      <xdr:rowOff>161925</xdr:rowOff>
    </xdr:from>
    <xdr:to>
      <xdr:col>18</xdr:col>
      <xdr:colOff>8752</xdr:colOff>
      <xdr:row>104</xdr:row>
      <xdr:rowOff>113417</xdr:rowOff>
    </xdr:to>
    <xdr:pic>
      <xdr:nvPicPr>
        <xdr:cNvPr id="7" name="Picture 6">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4"/>
        <a:stretch>
          <a:fillRect/>
        </a:stretch>
      </xdr:blipFill>
      <xdr:spPr>
        <a:xfrm>
          <a:off x="6172200" y="16325850"/>
          <a:ext cx="6180952" cy="7066667"/>
        </a:xfrm>
        <a:prstGeom prst="rect">
          <a:avLst/>
        </a:prstGeom>
      </xdr:spPr>
    </xdr:pic>
    <xdr:clientData/>
  </xdr:twoCellAnchor>
  <xdr:twoCellAnchor>
    <xdr:from>
      <xdr:col>0</xdr:col>
      <xdr:colOff>112059</xdr:colOff>
      <xdr:row>112</xdr:row>
      <xdr:rowOff>77878</xdr:rowOff>
    </xdr:from>
    <xdr:to>
      <xdr:col>10</xdr:col>
      <xdr:colOff>169210</xdr:colOff>
      <xdr:row>139</xdr:row>
      <xdr:rowOff>30254</xdr:rowOff>
    </xdr:to>
    <xdr:sp macro="" textlink="">
      <xdr:nvSpPr>
        <xdr:cNvPr id="6" name="TextBox 5">
          <a:extLst>
            <a:ext uri="{FF2B5EF4-FFF2-40B4-BE49-F238E27FC236}">
              <a16:creationId xmlns:a16="http://schemas.microsoft.com/office/drawing/2014/main" id="{00000000-0008-0000-0A00-000006000000}"/>
            </a:ext>
          </a:extLst>
        </xdr:cNvPr>
        <xdr:cNvSpPr txBox="1"/>
      </xdr:nvSpPr>
      <xdr:spPr>
        <a:xfrm>
          <a:off x="112059" y="23195613"/>
          <a:ext cx="6892739" cy="53984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Boulanger, R. W., and Idriss, I. M. (2012). Probabilistic standard penetration test-based liquefaction-triggering procedure. </a:t>
          </a:r>
          <a:r>
            <a:rPr lang="en-US" sz="1100" i="1">
              <a:solidFill>
                <a:schemeClr val="dk1"/>
              </a:solidFill>
              <a:effectLst/>
              <a:latin typeface="Times New Roman" panose="02020603050405020304" pitchFamily="18" charset="0"/>
              <a:ea typeface="+mn-ea"/>
              <a:cs typeface="Times New Roman" panose="02020603050405020304" pitchFamily="18" charset="0"/>
            </a:rPr>
            <a:t>J. Geotech. Geoenviron. Eng.</a:t>
          </a:r>
          <a:r>
            <a:rPr lang="en-US" sz="1100">
              <a:solidFill>
                <a:schemeClr val="dk1"/>
              </a:solidFill>
              <a:effectLst/>
              <a:latin typeface="Times New Roman" panose="02020603050405020304" pitchFamily="18" charset="0"/>
              <a:ea typeface="+mn-ea"/>
              <a:cs typeface="Times New Roman" panose="02020603050405020304" pitchFamily="18" charset="0"/>
            </a:rPr>
            <a:t>, 10.1061/(ASCE)GT.1943-5606.0000700, 1185–1195.</a:t>
          </a:r>
        </a:p>
        <a:p>
          <a:pPr marL="0" marR="0" indent="0" defTabSz="914400" eaLnBrk="1" fontAlgn="auto" latinLnBrk="0" hangingPunct="1">
            <a:lnSpc>
              <a:spcPct val="100000"/>
            </a:lnSpc>
            <a:spcBef>
              <a:spcPts val="0"/>
            </a:spcBef>
            <a:spcAft>
              <a:spcPts val="0"/>
            </a:spcAft>
            <a:buClrTx/>
            <a:buSzTx/>
            <a:buFontTx/>
            <a:buNone/>
            <a:tabLst/>
            <a:defRPr/>
          </a:pPr>
          <a:endParaRPr lang="en-US" sz="1100">
            <a:solidFill>
              <a:schemeClr val="dk1"/>
            </a:solidFill>
            <a:effectLst/>
            <a:latin typeface="Times New Roman" panose="02020603050405020304" pitchFamily="18" charset="0"/>
            <a:ea typeface="+mn-ea"/>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Cetin, K. O., &amp; al., e. (2009, March). Probabilistic Model for the Assessment of Cyclical Induced Reconsolidation (Volumetric) Settlements. </a:t>
          </a:r>
          <a:r>
            <a:rPr lang="en-US" sz="1100" i="1">
              <a:solidFill>
                <a:schemeClr val="dk1"/>
              </a:solidFill>
              <a:effectLst/>
              <a:latin typeface="Times New Roman" panose="02020603050405020304" pitchFamily="18" charset="0"/>
              <a:ea typeface="+mn-ea"/>
              <a:cs typeface="Times New Roman" panose="02020603050405020304" pitchFamily="18" charset="0"/>
            </a:rPr>
            <a:t>Journal of Geotechnical and Geoenvironmental Engineering</a:t>
          </a:r>
          <a:r>
            <a:rPr lang="en-US" sz="1100">
              <a:solidFill>
                <a:schemeClr val="dk1"/>
              </a:solidFill>
              <a:effectLst/>
              <a:latin typeface="Times New Roman" panose="02020603050405020304" pitchFamily="18" charset="0"/>
              <a:ea typeface="+mn-ea"/>
              <a:cs typeface="Times New Roman" panose="02020603050405020304" pitchFamily="18" charset="0"/>
            </a:rPr>
            <a:t>, 387-396.</a:t>
          </a:r>
        </a:p>
        <a:p>
          <a:endParaRPr lang="en-US" sz="1100">
            <a:latin typeface="Times New Roman" panose="02020603050405020304" pitchFamily="18" charset="0"/>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Cetin, K. O., et al. (2004). Standard penetration test-based probabilistic and deterministic assessment of seismic soil liquefaction potential. </a:t>
          </a:r>
          <a:r>
            <a:rPr lang="en-US" sz="1100" i="1">
              <a:solidFill>
                <a:schemeClr val="dk1"/>
              </a:solidFill>
              <a:effectLst/>
              <a:latin typeface="Times New Roman" panose="02020603050405020304" pitchFamily="18" charset="0"/>
              <a:ea typeface="+mn-ea"/>
              <a:cs typeface="Times New Roman" panose="02020603050405020304" pitchFamily="18" charset="0"/>
            </a:rPr>
            <a:t>J. Geotech. Geoenviron. Eng</a:t>
          </a:r>
          <a:r>
            <a:rPr lang="en-US" sz="1100">
              <a:solidFill>
                <a:schemeClr val="dk1"/>
              </a:solidFill>
              <a:effectLst/>
              <a:latin typeface="Times New Roman" panose="02020603050405020304" pitchFamily="18" charset="0"/>
              <a:ea typeface="+mn-ea"/>
              <a:cs typeface="Times New Roman" panose="02020603050405020304" pitchFamily="18" charset="0"/>
            </a:rPr>
            <a:t>., 10.1061/(ASCE)1090-0241(2004)130:12(1314), 1314–1340.</a:t>
          </a:r>
          <a:endParaRPr lang="en-US" sz="1100">
            <a:latin typeface="Times New Roman" panose="02020603050405020304" pitchFamily="18" charset="0"/>
            <a:cs typeface="Times New Roman" panose="02020603050405020304" pitchFamily="18" charset="0"/>
          </a:endParaRPr>
        </a:p>
        <a:p>
          <a:endParaRPr lang="en-US" sz="1100">
            <a:latin typeface="Times New Roman" panose="02020603050405020304" pitchFamily="18" charset="0"/>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Franke, K. and Wright, A. (2013) An Alternative Performance-Based Liquefaction Initiation Procedure for the Standard Penetration Test. </a:t>
          </a:r>
          <a:r>
            <a:rPr lang="en-US" sz="1100" i="1">
              <a:solidFill>
                <a:schemeClr val="dk1"/>
              </a:solidFill>
              <a:effectLst/>
              <a:latin typeface="Times New Roman" panose="02020603050405020304" pitchFamily="18" charset="0"/>
              <a:ea typeface="+mn-ea"/>
              <a:cs typeface="Times New Roman" panose="02020603050405020304" pitchFamily="18" charset="0"/>
            </a:rPr>
            <a:t>Geo-Congress 2013</a:t>
          </a:r>
          <a:r>
            <a:rPr lang="en-US" sz="1100">
              <a:solidFill>
                <a:schemeClr val="dk1"/>
              </a:solidFill>
              <a:effectLst/>
              <a:latin typeface="Times New Roman" panose="02020603050405020304" pitchFamily="18" charset="0"/>
              <a:ea typeface="+mn-ea"/>
              <a:cs typeface="Times New Roman" panose="02020603050405020304" pitchFamily="18" charset="0"/>
            </a:rPr>
            <a:t>, 10.1061/9780784412787.086, 846-849.</a:t>
          </a:r>
          <a:endParaRPr lang="en-US" sz="1100">
            <a:latin typeface="Times New Roman" panose="02020603050405020304" pitchFamily="18" charset="0"/>
            <a:cs typeface="Times New Roman" panose="02020603050405020304" pitchFamily="18" charset="0"/>
          </a:endParaRPr>
        </a:p>
        <a:p>
          <a:endParaRPr lang="en-US" sz="1100">
            <a:latin typeface="Times New Roman" panose="02020603050405020304" pitchFamily="18" charset="0"/>
            <a:cs typeface="Times New Roman" panose="02020603050405020304" pitchFamily="18" charset="0"/>
          </a:endParaRPr>
        </a:p>
        <a:p>
          <a:r>
            <a:rPr lang="en-US" sz="1100">
              <a:solidFill>
                <a:schemeClr val="dk1"/>
              </a:solidFill>
              <a:effectLst/>
              <a:latin typeface="Times New Roman" panose="02020603050405020304" pitchFamily="18" charset="0"/>
              <a:ea typeface="+mn-ea"/>
              <a:cs typeface="Times New Roman" panose="02020603050405020304" pitchFamily="18" charset="0"/>
            </a:rPr>
            <a:t>Idriss, I.M., and Boulanger, R.W. (2008). </a:t>
          </a:r>
          <a:r>
            <a:rPr lang="en-US" sz="1100" i="1">
              <a:solidFill>
                <a:schemeClr val="dk1"/>
              </a:solidFill>
              <a:effectLst/>
              <a:latin typeface="Times New Roman" panose="02020603050405020304" pitchFamily="18" charset="0"/>
              <a:ea typeface="+mn-ea"/>
              <a:cs typeface="Times New Roman" panose="02020603050405020304" pitchFamily="18" charset="0"/>
            </a:rPr>
            <a:t>Soil liquefaction during earthquakes. </a:t>
          </a:r>
          <a:r>
            <a:rPr lang="en-US" sz="1100">
              <a:solidFill>
                <a:schemeClr val="dk1"/>
              </a:solidFill>
              <a:effectLst/>
              <a:latin typeface="Times New Roman" panose="02020603050405020304" pitchFamily="18" charset="0"/>
              <a:ea typeface="+mn-ea"/>
              <a:cs typeface="Times New Roman" panose="02020603050405020304" pitchFamily="18" charset="0"/>
            </a:rPr>
            <a:t>Monograph MNO-12, Earthquake Engineering Research Institute, Oakland, CA 261 pp.</a:t>
          </a:r>
        </a:p>
        <a:p>
          <a:endParaRPr lang="en-US" sz="1100">
            <a:solidFill>
              <a:schemeClr val="dk1"/>
            </a:solidFill>
            <a:effectLst/>
            <a:latin typeface="Times New Roman" panose="02020603050405020304" pitchFamily="18" charset="0"/>
            <a:ea typeface="+mn-ea"/>
            <a:cs typeface="Times New Roman" panose="02020603050405020304" pitchFamily="18" charset="0"/>
          </a:endParaRPr>
        </a:p>
        <a:p>
          <a:r>
            <a:rPr lang="en-US" sz="1100">
              <a:solidFill>
                <a:schemeClr val="dk1"/>
              </a:solidFill>
              <a:effectLst/>
              <a:latin typeface="Times New Roman" panose="02020603050405020304" pitchFamily="18" charset="0"/>
              <a:ea typeface="+mn-ea"/>
              <a:cs typeface="Times New Roman" panose="02020603050405020304" pitchFamily="18" charset="0"/>
            </a:rPr>
            <a:t>Idriss, I. M., and Boulanger, R. W. (2010). SPT-based liquefaction triggering procedures. </a:t>
          </a:r>
          <a:r>
            <a:rPr lang="en-US" sz="1100" i="1">
              <a:solidFill>
                <a:schemeClr val="dk1"/>
              </a:solidFill>
              <a:effectLst/>
              <a:latin typeface="Times New Roman" panose="02020603050405020304" pitchFamily="18" charset="0"/>
              <a:ea typeface="+mn-ea"/>
              <a:cs typeface="Times New Roman" panose="02020603050405020304" pitchFamily="18" charset="0"/>
            </a:rPr>
            <a:t>Rep. UCD/CGM-10/02</a:t>
          </a:r>
          <a:r>
            <a:rPr lang="en-US" sz="1100">
              <a:solidFill>
                <a:schemeClr val="dk1"/>
              </a:solidFill>
              <a:effectLst/>
              <a:latin typeface="Times New Roman" panose="02020603050405020304" pitchFamily="18" charset="0"/>
              <a:ea typeface="+mn-ea"/>
              <a:cs typeface="Times New Roman" panose="02020603050405020304" pitchFamily="18" charset="0"/>
            </a:rPr>
            <a:t>, Dept. of Civil and Environmental Engineering, Univ. of California–Davis, Davis, CA.</a:t>
          </a:r>
        </a:p>
        <a:p>
          <a:endParaRPr lang="en-US" sz="1100">
            <a:solidFill>
              <a:schemeClr val="dk1"/>
            </a:solidFill>
            <a:effectLst/>
            <a:latin typeface="Times New Roman" panose="02020603050405020304" pitchFamily="18" charset="0"/>
            <a:ea typeface="+mn-ea"/>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Ishihara, K., &amp; Yoshimine, M. (1992). Evaluation of settlements in sand deposits following liquefaction during earthquakes. </a:t>
          </a:r>
          <a:r>
            <a:rPr lang="en-US" sz="1100" i="1">
              <a:solidFill>
                <a:schemeClr val="dk1"/>
              </a:solidFill>
              <a:effectLst/>
              <a:latin typeface="Times New Roman" panose="02020603050405020304" pitchFamily="18" charset="0"/>
              <a:ea typeface="+mn-ea"/>
              <a:cs typeface="Times New Roman" panose="02020603050405020304" pitchFamily="18" charset="0"/>
            </a:rPr>
            <a:t>Soils Found., 32</a:t>
          </a:r>
          <a:r>
            <a:rPr lang="en-US" sz="1100">
              <a:solidFill>
                <a:schemeClr val="dk1"/>
              </a:solidFill>
              <a:effectLst/>
              <a:latin typeface="Times New Roman" panose="02020603050405020304" pitchFamily="18" charset="0"/>
              <a:ea typeface="+mn-ea"/>
              <a:cs typeface="Times New Roman" panose="02020603050405020304" pitchFamily="18" charset="0"/>
            </a:rPr>
            <a:t>, 173-188.</a:t>
          </a:r>
        </a:p>
        <a:p>
          <a:endParaRPr lang="en-US" sz="1100">
            <a:latin typeface="Times New Roman" panose="02020603050405020304" pitchFamily="18" charset="0"/>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Mayfield, R. T., Kramer, S. L., and Huang, Y.-M. (2010). Simplified approximation procedure for performance-based evaluation of liquefaction potential. </a:t>
          </a:r>
          <a:r>
            <a:rPr lang="en-US" sz="1100" i="1">
              <a:solidFill>
                <a:schemeClr val="dk1"/>
              </a:solidFill>
              <a:effectLst/>
              <a:latin typeface="Times New Roman" panose="02020603050405020304" pitchFamily="18" charset="0"/>
              <a:ea typeface="+mn-ea"/>
              <a:cs typeface="Times New Roman" panose="02020603050405020304" pitchFamily="18" charset="0"/>
            </a:rPr>
            <a:t>J. Geotech. Geoenviron. Eng</a:t>
          </a:r>
          <a:r>
            <a:rPr lang="en-US" sz="1100">
              <a:solidFill>
                <a:schemeClr val="dk1"/>
              </a:solidFill>
              <a:effectLst/>
              <a:latin typeface="Times New Roman" panose="02020603050405020304" pitchFamily="18" charset="0"/>
              <a:ea typeface="+mn-ea"/>
              <a:cs typeface="Times New Roman" panose="02020603050405020304" pitchFamily="18" charset="0"/>
            </a:rPr>
            <a:t>., 10.1061/(ASCE) GT.1943-5606.0000191, 140–150.</a:t>
          </a:r>
        </a:p>
        <a:p>
          <a:endParaRPr lang="en-US" sz="1100">
            <a:latin typeface="Times New Roman" panose="02020603050405020304" pitchFamily="18" charset="0"/>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Times New Roman" panose="02020603050405020304" pitchFamily="18" charset="0"/>
              <a:ea typeface="+mn-ea"/>
              <a:cs typeface="Times New Roman" panose="02020603050405020304" pitchFamily="18" charset="0"/>
            </a:rPr>
            <a:t>Petersen, Mark D., Frankel, Arthur D., Harmsen, Stephen C., Mueller, Charles S., Haller, Kathleen M., Wheeler, Russell L., Wesson, Robert L., Zeng, Yuehua, Boyd, Oliver S., Perkins, David M., Luco, Nicolas, Field, Edward H., Wills, Chris J., and Rukstales, Kenneth S. (2008). Documentation for the 2008 Update of the United States National Seismic Hazard Maps. Open-File Report 2008–1128, United States Geological Survey, Denver, CO: available at website: </a:t>
          </a:r>
          <a:r>
            <a:rPr lang="en-US" sz="1100" u="sng">
              <a:solidFill>
                <a:schemeClr val="dk1"/>
              </a:solidFill>
              <a:effectLst/>
              <a:latin typeface="Times New Roman" panose="02020603050405020304" pitchFamily="18" charset="0"/>
              <a:ea typeface="+mn-ea"/>
              <a:cs typeface="Times New Roman" panose="02020603050405020304" pitchFamily="18" charset="0"/>
              <a:hlinkClick xmlns:r="http://schemas.openxmlformats.org/officeDocument/2006/relationships" r:id=""/>
            </a:rPr>
            <a:t>http://pubs.usgs.gov/of/2008/1128/</a:t>
          </a:r>
          <a:r>
            <a:rPr lang="en-US" sz="1100">
              <a:solidFill>
                <a:schemeClr val="dk1"/>
              </a:solidFill>
              <a:effectLst/>
              <a:latin typeface="Times New Roman" panose="02020603050405020304" pitchFamily="18" charset="0"/>
              <a:ea typeface="+mn-ea"/>
              <a:cs typeface="Times New Roman" panose="02020603050405020304" pitchFamily="18" charset="0"/>
            </a:rPr>
            <a:t>.</a:t>
          </a:r>
        </a:p>
        <a:p>
          <a:endParaRPr lang="en-US" sz="1100">
            <a:latin typeface="Times New Roman" panose="02020603050405020304" pitchFamily="18" charset="0"/>
            <a:cs typeface="Times New Roman" panose="02020603050405020304" pitchFamily="18" charset="0"/>
          </a:endParaRPr>
        </a:p>
        <a:p>
          <a:r>
            <a:rPr lang="en-US" sz="1100">
              <a:latin typeface="Times New Roman" panose="02020603050405020304" pitchFamily="18" charset="0"/>
              <a:cs typeface="Times New Roman" panose="02020603050405020304" pitchFamily="18" charset="0"/>
            </a:rPr>
            <a:t>Ulmer, K.J. and Franke, K.W. (2015). Simplified </a:t>
          </a:r>
          <a:r>
            <a:rPr lang="en-US" sz="1100">
              <a:solidFill>
                <a:schemeClr val="dk1"/>
              </a:solidFill>
              <a:effectLst/>
              <a:latin typeface="Times New Roman" panose="02020603050405020304" pitchFamily="18" charset="0"/>
              <a:ea typeface="+mn-ea"/>
              <a:cs typeface="Times New Roman" panose="02020603050405020304" pitchFamily="18" charset="0"/>
            </a:rPr>
            <a:t>Performance-based Assessment of Liquefaction</a:t>
          </a:r>
          <a:r>
            <a:rPr lang="en-US" sz="1100" baseline="0">
              <a:solidFill>
                <a:schemeClr val="dk1"/>
              </a:solidFill>
              <a:effectLst/>
              <a:latin typeface="Times New Roman" panose="02020603050405020304" pitchFamily="18" charset="0"/>
              <a:ea typeface="+mn-ea"/>
              <a:cs typeface="Times New Roman" panose="02020603050405020304" pitchFamily="18" charset="0"/>
            </a:rPr>
            <a:t> Triggering using Liquefaction Loading Maps</a:t>
          </a:r>
          <a:r>
            <a:rPr lang="en-US" sz="1100">
              <a:solidFill>
                <a:schemeClr val="dk1"/>
              </a:solidFill>
              <a:effectLst/>
              <a:latin typeface="Times New Roman" panose="02020603050405020304" pitchFamily="18" charset="0"/>
              <a:ea typeface="+mn-ea"/>
              <a:cs typeface="Times New Roman" panose="02020603050405020304" pitchFamily="18" charset="0"/>
            </a:rPr>
            <a:t>. </a:t>
          </a:r>
          <a:r>
            <a:rPr lang="en-US" sz="1100" i="1">
              <a:solidFill>
                <a:schemeClr val="dk1"/>
              </a:solidFill>
              <a:effectLst/>
              <a:latin typeface="Times New Roman" panose="02020603050405020304" pitchFamily="18" charset="0"/>
              <a:ea typeface="+mn-ea"/>
              <a:cs typeface="Times New Roman" panose="02020603050405020304" pitchFamily="18" charset="0"/>
            </a:rPr>
            <a:t>J. Geotech. Geoenviron. Eng</a:t>
          </a:r>
          <a:r>
            <a:rPr lang="en-US" sz="1100">
              <a:solidFill>
                <a:schemeClr val="dk1"/>
              </a:solidFill>
              <a:effectLst/>
              <a:latin typeface="Times New Roman" panose="02020603050405020304" pitchFamily="18" charset="0"/>
              <a:ea typeface="+mn-ea"/>
              <a:cs typeface="Times New Roman" panose="02020603050405020304" pitchFamily="18" charset="0"/>
            </a:rPr>
            <a:t>. (pending).</a:t>
          </a:r>
          <a:endParaRPr lang="en-US" sz="1100">
            <a:latin typeface="Times New Roman" panose="02020603050405020304" pitchFamily="18" charset="0"/>
            <a:cs typeface="Times New Roman" panose="02020603050405020304" pitchFamily="18" charset="0"/>
          </a:endParaRPr>
        </a:p>
      </xdr:txBody>
    </xdr:sp>
    <xdr:clientData/>
  </xdr:twoCellAnchor>
  <xdr:twoCellAnchor>
    <xdr:from>
      <xdr:col>0</xdr:col>
      <xdr:colOff>95250</xdr:colOff>
      <xdr:row>5</xdr:row>
      <xdr:rowOff>0</xdr:rowOff>
    </xdr:from>
    <xdr:to>
      <xdr:col>7</xdr:col>
      <xdr:colOff>495300</xdr:colOff>
      <xdr:row>17</xdr:row>
      <xdr:rowOff>85725</xdr:rowOff>
    </xdr:to>
    <xdr:sp macro="" textlink="">
      <xdr:nvSpPr>
        <xdr:cNvPr id="8" name="TextBox 7">
          <a:extLst>
            <a:ext uri="{FF2B5EF4-FFF2-40B4-BE49-F238E27FC236}">
              <a16:creationId xmlns:a16="http://schemas.microsoft.com/office/drawing/2014/main" id="{00000000-0008-0000-0A00-000008000000}"/>
            </a:ext>
          </a:extLst>
        </xdr:cNvPr>
        <xdr:cNvSpPr txBox="1"/>
      </xdr:nvSpPr>
      <xdr:spPr>
        <a:xfrm>
          <a:off x="95250" y="1057275"/>
          <a:ext cx="5200650" cy="2486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1" indent="0" defTabSz="914400" eaLnBrk="1" fontAlgn="auto" latinLnBrk="0" hangingPunct="1">
            <a:lnSpc>
              <a:spcPct val="100000"/>
            </a:lnSpc>
            <a:spcBef>
              <a:spcPts val="0"/>
            </a:spcBef>
            <a:spcAft>
              <a:spcPts val="0"/>
            </a:spcAft>
            <a:buClrTx/>
            <a:buSzTx/>
            <a:buFontTx/>
            <a:buNone/>
            <a:tabLst/>
            <a:defRPr/>
          </a:pPr>
          <a:r>
            <a:rPr lang="en-US" sz="1100" i="1">
              <a:solidFill>
                <a:schemeClr val="dk1"/>
              </a:solidFill>
              <a:effectLst/>
              <a:latin typeface="Times New Roman" panose="02020603050405020304" pitchFamily="18" charset="0"/>
              <a:ea typeface="+mn-ea"/>
              <a:cs typeface="Times New Roman" panose="02020603050405020304" pitchFamily="18" charset="0"/>
            </a:rPr>
            <a:t>PGA</a:t>
          </a:r>
          <a:r>
            <a:rPr lang="en-US" sz="1100">
              <a:solidFill>
                <a:schemeClr val="dk1"/>
              </a:solidFill>
              <a:effectLst/>
              <a:latin typeface="Times New Roman" panose="02020603050405020304" pitchFamily="18" charset="0"/>
              <a:ea typeface="+mn-ea"/>
              <a:cs typeface="Times New Roman" panose="02020603050405020304" pitchFamily="18" charset="0"/>
            </a:rPr>
            <a:t>: Peak Ground Acceleration should be retrieved from the 2008 or 2014 (or 2007, for Alaska) USGS Interactive Deaggregation website at the return period specified in step 1.  Use the table below to convert return periods to exceedance probabilities.  </a:t>
          </a:r>
          <a:r>
            <a:rPr lang="en-US" sz="1100">
              <a:effectLst/>
              <a:latin typeface="Times New Roman" panose="02020603050405020304" pitchFamily="18" charset="0"/>
              <a:ea typeface="Times New Roman" panose="02020603050405020304" pitchFamily="18" charset="0"/>
            </a:rPr>
            <a:t>After entering the latitude and longitude of the site, exceedance probability, Spectral Period of 0.0 seconds, and </a:t>
          </a:r>
          <a:r>
            <a:rPr lang="en-US" sz="1100" i="1">
              <a:effectLst/>
              <a:latin typeface="Times New Roman" panose="02020603050405020304" pitchFamily="18" charset="0"/>
              <a:ea typeface="Times New Roman" panose="02020603050405020304" pitchFamily="18" charset="0"/>
            </a:rPr>
            <a:t>V</a:t>
          </a:r>
          <a:r>
            <a:rPr lang="en-US" sz="1100" i="1" baseline="-25000">
              <a:effectLst/>
              <a:latin typeface="Times New Roman" panose="02020603050405020304" pitchFamily="18" charset="0"/>
              <a:ea typeface="Times New Roman" panose="02020603050405020304" pitchFamily="18" charset="0"/>
            </a:rPr>
            <a:t>s,30­</a:t>
          </a:r>
          <a:r>
            <a:rPr lang="en-US" sz="1100">
              <a:effectLst/>
              <a:latin typeface="Times New Roman" panose="02020603050405020304" pitchFamily="18" charset="0"/>
              <a:ea typeface="Times New Roman" panose="02020603050405020304" pitchFamily="18" charset="0"/>
            </a:rPr>
            <a:t> of 760 m/s, retrieve the </a:t>
          </a:r>
          <a:r>
            <a:rPr lang="en-US" sz="1100" i="1">
              <a:effectLst/>
              <a:latin typeface="Times New Roman" panose="02020603050405020304" pitchFamily="18" charset="0"/>
              <a:ea typeface="Times New Roman" panose="02020603050405020304" pitchFamily="18" charset="0"/>
            </a:rPr>
            <a:t>PGA</a:t>
          </a:r>
          <a:r>
            <a:rPr lang="en-US" sz="1100">
              <a:effectLst/>
              <a:latin typeface="Times New Roman" panose="02020603050405020304" pitchFamily="18" charset="0"/>
              <a:ea typeface="Times New Roman" panose="02020603050405020304" pitchFamily="18" charset="0"/>
            </a:rPr>
            <a:t> from the output report.  This value is necessary for estimating the </a:t>
          </a:r>
          <a:r>
            <a:rPr lang="en-US" sz="1100" i="1">
              <a:effectLst/>
              <a:latin typeface="Times New Roman" panose="02020603050405020304" pitchFamily="18" charset="0"/>
              <a:ea typeface="Times New Roman" panose="02020603050405020304" pitchFamily="18" charset="0"/>
            </a:rPr>
            <a:t>F</a:t>
          </a:r>
          <a:r>
            <a:rPr lang="en-US" sz="1100" i="1" baseline="-25000">
              <a:effectLst/>
              <a:latin typeface="Times New Roman" panose="02020603050405020304" pitchFamily="18" charset="0"/>
              <a:ea typeface="Times New Roman" panose="02020603050405020304" pitchFamily="18" charset="0"/>
            </a:rPr>
            <a:t>pga</a:t>
          </a:r>
          <a:r>
            <a:rPr lang="en-US" sz="1100">
              <a:effectLst/>
              <a:latin typeface="Times New Roman" panose="02020603050405020304" pitchFamily="18" charset="0"/>
              <a:ea typeface="Times New Roman" panose="02020603050405020304" pitchFamily="18" charset="0"/>
            </a:rPr>
            <a:t>.  </a:t>
          </a:r>
        </a:p>
        <a:p>
          <a:pPr marL="0" marR="0" lvl="1" indent="0" defTabSz="914400" eaLnBrk="1" fontAlgn="auto" latinLnBrk="0" hangingPunct="1">
            <a:lnSpc>
              <a:spcPct val="100000"/>
            </a:lnSpc>
            <a:spcBef>
              <a:spcPts val="0"/>
            </a:spcBef>
            <a:spcAft>
              <a:spcPts val="0"/>
            </a:spcAft>
            <a:buClrTx/>
            <a:buSzTx/>
            <a:buFontTx/>
            <a:buNone/>
            <a:tabLst/>
            <a:defRPr/>
          </a:pPr>
          <a:endParaRPr lang="en-US" sz="1100">
            <a:latin typeface="Times New Roman" panose="02020603050405020304" pitchFamily="18" charset="0"/>
            <a:cs typeface="Times New Roman" panose="02020603050405020304" pitchFamily="18" charset="0"/>
          </a:endParaRPr>
        </a:p>
        <a:p>
          <a:pPr marL="0" marR="0" lvl="1" indent="0" defTabSz="914400" eaLnBrk="1" fontAlgn="auto" latinLnBrk="0" hangingPunct="1">
            <a:lnSpc>
              <a:spcPct val="100000"/>
            </a:lnSpc>
            <a:spcBef>
              <a:spcPts val="0"/>
            </a:spcBef>
            <a:spcAft>
              <a:spcPts val="0"/>
            </a:spcAft>
            <a:buClrTx/>
            <a:buSzTx/>
            <a:buFontTx/>
            <a:buNone/>
            <a:tabLst/>
            <a:defRPr/>
          </a:pPr>
          <a:r>
            <a:rPr lang="en-US" sz="1100" i="1">
              <a:solidFill>
                <a:schemeClr val="dk1"/>
              </a:solidFill>
              <a:effectLst/>
              <a:latin typeface="Times New Roman" panose="02020603050405020304" pitchFamily="18" charset="0"/>
              <a:ea typeface="+mn-ea"/>
              <a:cs typeface="Times New Roman" panose="02020603050405020304" pitchFamily="18" charset="0"/>
            </a:rPr>
            <a:t>F</a:t>
          </a:r>
          <a:r>
            <a:rPr lang="en-US" sz="1100" i="1" baseline="-25000">
              <a:solidFill>
                <a:schemeClr val="dk1"/>
              </a:solidFill>
              <a:effectLst/>
              <a:latin typeface="Times New Roman" panose="02020603050405020304" pitchFamily="18" charset="0"/>
              <a:ea typeface="+mn-ea"/>
              <a:cs typeface="Times New Roman" panose="02020603050405020304" pitchFamily="18" charset="0"/>
            </a:rPr>
            <a:t>pga</a:t>
          </a:r>
          <a:r>
            <a:rPr lang="en-US" sz="1100">
              <a:solidFill>
                <a:schemeClr val="dk1"/>
              </a:solidFill>
              <a:effectLst/>
              <a:latin typeface="Times New Roman" panose="02020603050405020304" pitchFamily="18" charset="0"/>
              <a:ea typeface="+mn-ea"/>
              <a:cs typeface="Times New Roman" panose="02020603050405020304" pitchFamily="18" charset="0"/>
            </a:rPr>
            <a:t>: If the user checks the “Calculate </a:t>
          </a:r>
          <a:r>
            <a:rPr lang="en-US" sz="1100" i="1">
              <a:solidFill>
                <a:schemeClr val="dk1"/>
              </a:solidFill>
              <a:effectLst/>
              <a:latin typeface="Times New Roman" panose="02020603050405020304" pitchFamily="18" charset="0"/>
              <a:ea typeface="+mn-ea"/>
              <a:cs typeface="Times New Roman" panose="02020603050405020304" pitchFamily="18" charset="0"/>
            </a:rPr>
            <a:t>F</a:t>
          </a:r>
          <a:r>
            <a:rPr lang="en-US" sz="1100" i="1" baseline="-25000">
              <a:solidFill>
                <a:schemeClr val="dk1"/>
              </a:solidFill>
              <a:effectLst/>
              <a:latin typeface="Times New Roman" panose="02020603050405020304" pitchFamily="18" charset="0"/>
              <a:ea typeface="+mn-ea"/>
              <a:cs typeface="Times New Roman" panose="02020603050405020304" pitchFamily="18" charset="0"/>
            </a:rPr>
            <a:t>pga</a:t>
          </a:r>
          <a:r>
            <a:rPr lang="en-US" sz="1100">
              <a:solidFill>
                <a:schemeClr val="dk1"/>
              </a:solidFill>
              <a:effectLst/>
              <a:latin typeface="Times New Roman" panose="02020603050405020304" pitchFamily="18" charset="0"/>
              <a:ea typeface="+mn-ea"/>
              <a:cs typeface="Times New Roman" panose="02020603050405020304" pitchFamily="18" charset="0"/>
            </a:rPr>
            <a:t> automatically” checkbox, the spreadsheet will calculate </a:t>
          </a:r>
          <a:r>
            <a:rPr lang="en-US" sz="1100" i="1">
              <a:solidFill>
                <a:schemeClr val="dk1"/>
              </a:solidFill>
              <a:effectLst/>
              <a:latin typeface="Times New Roman" panose="02020603050405020304" pitchFamily="18" charset="0"/>
              <a:ea typeface="+mn-ea"/>
              <a:cs typeface="Times New Roman" panose="02020603050405020304" pitchFamily="18" charset="0"/>
            </a:rPr>
            <a:t>F</a:t>
          </a:r>
          <a:r>
            <a:rPr lang="en-US" sz="1100" i="1" baseline="-25000">
              <a:solidFill>
                <a:schemeClr val="dk1"/>
              </a:solidFill>
              <a:effectLst/>
              <a:latin typeface="Times New Roman" panose="02020603050405020304" pitchFamily="18" charset="0"/>
              <a:ea typeface="+mn-ea"/>
              <a:cs typeface="Times New Roman" panose="02020603050405020304" pitchFamily="18" charset="0"/>
            </a:rPr>
            <a:t>pga</a:t>
          </a:r>
          <a:r>
            <a:rPr lang="en-US" sz="1100">
              <a:solidFill>
                <a:schemeClr val="dk1"/>
              </a:solidFill>
              <a:effectLst/>
              <a:latin typeface="Times New Roman" panose="02020603050405020304" pitchFamily="18" charset="0"/>
              <a:ea typeface="+mn-ea"/>
              <a:cs typeface="Times New Roman" panose="02020603050405020304" pitchFamily="18" charset="0"/>
            </a:rPr>
            <a:t> according to the 2012 AASHTO code.  However, this cannot be done if the Site Class is F (see notes about Site Class below), and therefore, the user must specify an </a:t>
          </a:r>
          <a:r>
            <a:rPr lang="en-US" sz="1100" i="1">
              <a:solidFill>
                <a:schemeClr val="dk1"/>
              </a:solidFill>
              <a:effectLst/>
              <a:latin typeface="Times New Roman" panose="02020603050405020304" pitchFamily="18" charset="0"/>
              <a:ea typeface="+mn-ea"/>
              <a:cs typeface="Times New Roman" panose="02020603050405020304" pitchFamily="18" charset="0"/>
            </a:rPr>
            <a:t>F</a:t>
          </a:r>
          <a:r>
            <a:rPr lang="en-US" sz="1100" i="1" baseline="-25000">
              <a:solidFill>
                <a:schemeClr val="dk1"/>
              </a:solidFill>
              <a:effectLst/>
              <a:latin typeface="Times New Roman" panose="02020603050405020304" pitchFamily="18" charset="0"/>
              <a:ea typeface="+mn-ea"/>
              <a:cs typeface="Times New Roman" panose="02020603050405020304" pitchFamily="18" charset="0"/>
            </a:rPr>
            <a:t>pga</a:t>
          </a:r>
          <a:r>
            <a:rPr lang="en-US" sz="1100">
              <a:solidFill>
                <a:schemeClr val="dk1"/>
              </a:solidFill>
              <a:effectLst/>
              <a:latin typeface="Times New Roman" panose="02020603050405020304" pitchFamily="18" charset="0"/>
              <a:ea typeface="+mn-ea"/>
              <a:cs typeface="Times New Roman" panose="02020603050405020304" pitchFamily="18" charset="0"/>
            </a:rPr>
            <a:t> value based on a site response analysis.</a:t>
          </a:r>
        </a:p>
        <a:p>
          <a:endParaRPr lang="en-US" sz="1100">
            <a:latin typeface="Times New Roman" panose="02020603050405020304" pitchFamily="18" charset="0"/>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xdr:from>
          <xdr:col>6</xdr:col>
          <xdr:colOff>133350</xdr:colOff>
          <xdr:row>22</xdr:row>
          <xdr:rowOff>142875</xdr:rowOff>
        </xdr:from>
        <xdr:to>
          <xdr:col>8</xdr:col>
          <xdr:colOff>533400</xdr:colOff>
          <xdr:row>24</xdr:row>
          <xdr:rowOff>190500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A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8</xdr:col>
      <xdr:colOff>0</xdr:colOff>
      <xdr:row>5</xdr:row>
      <xdr:rowOff>0</xdr:rowOff>
    </xdr:from>
    <xdr:to>
      <xdr:col>15</xdr:col>
      <xdr:colOff>257175</xdr:colOff>
      <xdr:row>17</xdr:row>
      <xdr:rowOff>85725</xdr:rowOff>
    </xdr:to>
    <xdr:sp macro="" textlink="">
      <xdr:nvSpPr>
        <xdr:cNvPr id="14" name="TextBox 13">
          <a:extLst>
            <a:ext uri="{FF2B5EF4-FFF2-40B4-BE49-F238E27FC236}">
              <a16:creationId xmlns:a16="http://schemas.microsoft.com/office/drawing/2014/main" id="{00000000-0008-0000-0A00-00000E000000}"/>
            </a:ext>
          </a:extLst>
        </xdr:cNvPr>
        <xdr:cNvSpPr txBox="1"/>
      </xdr:nvSpPr>
      <xdr:spPr>
        <a:xfrm>
          <a:off x="5486400" y="1057275"/>
          <a:ext cx="5057775" cy="2486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1"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M</a:t>
          </a:r>
          <a:r>
            <a:rPr kumimoji="0" lang="en-US" sz="1100" b="0" i="1" u="none" strike="noStrike" kern="0" cap="none" spc="0" normalizeH="0" baseline="-25000" noProof="0">
              <a:ln>
                <a:noFill/>
              </a:ln>
              <a:solidFill>
                <a:prstClr val="black"/>
              </a:solidFill>
              <a:effectLst/>
              <a:uLnTx/>
              <a:uFillTx/>
              <a:latin typeface="Times New Roman" panose="02020603050405020304" pitchFamily="18" charset="0"/>
              <a:ea typeface="Times New Roman" panose="02020603050405020304" pitchFamily="18" charset="0"/>
              <a:cs typeface="+mn-cs"/>
            </a:rPr>
            <a:t>w</a:t>
          </a:r>
          <a:r>
            <a:rPr kumimoji="0" lang="en-US" sz="1100" b="0" i="0"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 The mean moment magnitude (</a:t>
          </a:r>
          <a:r>
            <a:rPr kumimoji="0" lang="en-US" sz="1100" b="0" i="1"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M</a:t>
          </a:r>
          <a:r>
            <a:rPr kumimoji="0" lang="en-US" sz="1100" b="0" i="1" u="none" strike="noStrike" kern="0" cap="none" spc="0" normalizeH="0" baseline="-25000" noProof="0">
              <a:ln>
                <a:noFill/>
              </a:ln>
              <a:solidFill>
                <a:prstClr val="black"/>
              </a:solidFill>
              <a:effectLst/>
              <a:uLnTx/>
              <a:uFillTx/>
              <a:latin typeface="Times New Roman" panose="02020603050405020304" pitchFamily="18" charset="0"/>
              <a:ea typeface="Times New Roman" panose="02020603050405020304" pitchFamily="18" charset="0"/>
              <a:cs typeface="+mn-cs"/>
            </a:rPr>
            <a:t>w</a:t>
          </a:r>
          <a:r>
            <a:rPr kumimoji="0" lang="en-US" sz="1100" b="0" i="0"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 is used to calculate the MSF correction factor as discussed in the Final report.  The value for </a:t>
          </a:r>
          <a:r>
            <a:rPr kumimoji="0" lang="en-US" sz="1100" b="0" i="1"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M</a:t>
          </a:r>
          <a:r>
            <a:rPr kumimoji="0" lang="en-US" sz="1100" b="0" i="1" u="none" strike="noStrike" kern="0" cap="none" spc="0" normalizeH="0" baseline="-25000" noProof="0">
              <a:ln>
                <a:noFill/>
              </a:ln>
              <a:solidFill>
                <a:prstClr val="black"/>
              </a:solidFill>
              <a:effectLst/>
              <a:uLnTx/>
              <a:uFillTx/>
              <a:latin typeface="Times New Roman" panose="02020603050405020304" pitchFamily="18" charset="0"/>
              <a:ea typeface="Times New Roman" panose="02020603050405020304" pitchFamily="18" charset="0"/>
              <a:cs typeface="+mn-cs"/>
            </a:rPr>
            <a:t>w</a:t>
          </a:r>
          <a:r>
            <a:rPr kumimoji="0" lang="en-US" sz="1100" b="0" i="1"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 </a:t>
          </a:r>
          <a:r>
            <a:rPr kumimoji="0" lang="en-US" sz="1100" b="0" i="0"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is found in the same output report created to find the </a:t>
          </a:r>
          <a:r>
            <a:rPr kumimoji="0" lang="en-US" sz="1100" b="0" i="1"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PGA</a:t>
          </a:r>
          <a:r>
            <a:rPr kumimoji="0" lang="en-US" sz="1100" b="0" i="0" u="none" strike="noStrike" kern="0" cap="none" spc="0" normalizeH="0" baseline="0" noProof="0">
              <a:ln>
                <a:noFill/>
              </a:ln>
              <a:solidFill>
                <a:prstClr val="black"/>
              </a:solidFill>
              <a:effectLst/>
              <a:uLnTx/>
              <a:uFillTx/>
              <a:latin typeface="Times New Roman" panose="02020603050405020304" pitchFamily="18" charset="0"/>
              <a:ea typeface="Times New Roman" panose="02020603050405020304" pitchFamily="18" charset="0"/>
              <a:cs typeface="+mn-cs"/>
            </a:rPr>
            <a:t> value.  </a:t>
          </a:r>
        </a:p>
        <a:p>
          <a:pPr marL="0" marR="0" lvl="0" indent="0" defTabSz="914400" eaLnBrk="1" fontAlgn="auto" latinLnBrk="0" hangingPunct="1">
            <a:lnSpc>
              <a:spcPct val="100000"/>
            </a:lnSpc>
            <a:spcBef>
              <a:spcPts val="0"/>
            </a:spcBef>
            <a:spcAft>
              <a:spcPts val="0"/>
            </a:spcAft>
            <a:buClrTx/>
            <a:buSzTx/>
            <a:buFontTx/>
            <a:buNone/>
            <a:tabLst/>
            <a:defRPr/>
          </a:pPr>
          <a:endParaRPr lang="en-US" sz="1100" i="1">
            <a:effectLst/>
            <a:latin typeface="Times New Roman" panose="02020603050405020304" pitchFamily="18" charset="0"/>
            <a:ea typeface="Times New Roman" panose="02020603050405020304" pitchFamily="18" charset="0"/>
          </a:endParaRPr>
        </a:p>
        <a:p>
          <a:r>
            <a:rPr lang="en-US" sz="1100" i="1">
              <a:effectLst/>
              <a:latin typeface="Times New Roman" panose="02020603050405020304" pitchFamily="18" charset="0"/>
              <a:ea typeface="Times New Roman" panose="02020603050405020304" pitchFamily="18" charset="0"/>
            </a:rPr>
            <a:t>V</a:t>
          </a:r>
          <a:r>
            <a:rPr lang="en-US" sz="1100" i="1" baseline="-25000">
              <a:effectLst/>
              <a:latin typeface="Times New Roman" panose="02020603050405020304" pitchFamily="18" charset="0"/>
              <a:ea typeface="Times New Roman" panose="02020603050405020304" pitchFamily="18" charset="0"/>
            </a:rPr>
            <a:t>s,12</a:t>
          </a:r>
          <a:r>
            <a:rPr lang="en-US" sz="1100">
              <a:effectLst/>
              <a:latin typeface="Times New Roman" panose="02020603050405020304" pitchFamily="18" charset="0"/>
              <a:ea typeface="Times New Roman" panose="02020603050405020304" pitchFamily="18" charset="0"/>
            </a:rPr>
            <a:t>: The shear wave velocity in the upper 12m (40 ft) is only required when using the Cetin et al (2004) model.  For further guidance in calculating this value, see below.</a:t>
          </a:r>
        </a:p>
        <a:p>
          <a:endParaRPr lang="en-US" sz="1100">
            <a:effectLst/>
            <a:latin typeface="Times New Roman" panose="02020603050405020304" pitchFamily="18" charset="0"/>
            <a:ea typeface="Times New Roman" panose="02020603050405020304" pitchFamily="18" charset="0"/>
          </a:endParaRPr>
        </a:p>
        <a:p>
          <a:r>
            <a:rPr lang="en-US" sz="1100">
              <a:effectLst/>
              <a:latin typeface="Times New Roman" panose="02020603050405020304" pitchFamily="18" charset="0"/>
              <a:ea typeface="Times New Roman" panose="02020603050405020304" pitchFamily="18" charset="0"/>
            </a:rPr>
            <a:t>Site Class: The site class is necessary for calculating the </a:t>
          </a:r>
          <a:r>
            <a:rPr lang="en-US" sz="1100" i="1">
              <a:effectLst/>
              <a:latin typeface="Times New Roman" panose="02020603050405020304" pitchFamily="18" charset="0"/>
              <a:ea typeface="Times New Roman" panose="02020603050405020304" pitchFamily="18" charset="0"/>
            </a:rPr>
            <a:t>F</a:t>
          </a:r>
          <a:r>
            <a:rPr lang="en-US" sz="1100" i="1" baseline="-25000">
              <a:effectLst/>
              <a:latin typeface="Times New Roman" panose="02020603050405020304" pitchFamily="18" charset="0"/>
              <a:ea typeface="Times New Roman" panose="02020603050405020304" pitchFamily="18" charset="0"/>
            </a:rPr>
            <a:t>pga</a:t>
          </a:r>
          <a:r>
            <a:rPr lang="en-US" sz="1100">
              <a:effectLst/>
              <a:latin typeface="Times New Roman" panose="02020603050405020304" pitchFamily="18" charset="0"/>
              <a:ea typeface="Times New Roman" panose="02020603050405020304" pitchFamily="18" charset="0"/>
            </a:rPr>
            <a:t>.  Site class is determined based on soil type and soil properties.  See below for further help in determining site class.</a:t>
          </a:r>
        </a:p>
        <a:p>
          <a:endParaRPr lang="en-US" sz="1100">
            <a:latin typeface="Times New Roman" panose="02020603050405020304" pitchFamily="18" charset="0"/>
            <a:cs typeface="Times New Roman" panose="02020603050405020304" pitchFamily="18" charset="0"/>
          </a:endParaRPr>
        </a:p>
      </xdr:txBody>
    </xdr:sp>
    <xdr:clientData/>
  </xdr:twoCellAnchor>
  <xdr:twoCellAnchor>
    <xdr:from>
      <xdr:col>0</xdr:col>
      <xdr:colOff>100853</xdr:colOff>
      <xdr:row>107</xdr:row>
      <xdr:rowOff>121024</xdr:rowOff>
    </xdr:from>
    <xdr:to>
      <xdr:col>8</xdr:col>
      <xdr:colOff>510428</xdr:colOff>
      <xdr:row>111</xdr:row>
      <xdr:rowOff>168649</xdr:rowOff>
    </xdr:to>
    <xdr:sp macro="" textlink="">
      <xdr:nvSpPr>
        <xdr:cNvPr id="12" name="TextBox 11">
          <a:extLst>
            <a:ext uri="{FF2B5EF4-FFF2-40B4-BE49-F238E27FC236}">
              <a16:creationId xmlns:a16="http://schemas.microsoft.com/office/drawing/2014/main" id="{00000000-0008-0000-0A00-00000C000000}"/>
            </a:ext>
          </a:extLst>
        </xdr:cNvPr>
        <xdr:cNvSpPr txBox="1"/>
      </xdr:nvSpPr>
      <xdr:spPr>
        <a:xfrm>
          <a:off x="100853" y="22230230"/>
          <a:ext cx="5878046" cy="8544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latin typeface="Times New Roman" panose="02020603050405020304" pitchFamily="18" charset="0"/>
              <a:cs typeface="Times New Roman" panose="02020603050405020304" pitchFamily="18" charset="0"/>
            </a:rPr>
            <a:t>For</a:t>
          </a:r>
          <a:r>
            <a:rPr lang="en-US" sz="1100" baseline="0">
              <a:latin typeface="Times New Roman" panose="02020603050405020304" pitchFamily="18" charset="0"/>
              <a:cs typeface="Times New Roman" panose="02020603050405020304" pitchFamily="18" charset="0"/>
            </a:rPr>
            <a:t> the spreadsheet to work, iterative calculations must be turned on.</a:t>
          </a:r>
          <a:endParaRPr lang="en-US" sz="1100">
            <a:latin typeface="Times New Roman" panose="02020603050405020304" pitchFamily="18" charset="0"/>
            <a:cs typeface="Times New Roman" panose="02020603050405020304" pitchFamily="18" charset="0"/>
          </a:endParaRPr>
        </a:p>
        <a:p>
          <a:endParaRPr lang="en-US" sz="1100">
            <a:latin typeface="Times New Roman" panose="02020603050405020304" pitchFamily="18" charset="0"/>
            <a:cs typeface="Times New Roman" panose="02020603050405020304" pitchFamily="18" charset="0"/>
          </a:endParaRPr>
        </a:p>
        <a:p>
          <a:r>
            <a:rPr lang="en-US" sz="1100">
              <a:latin typeface="Times New Roman" panose="02020603050405020304" pitchFamily="18" charset="0"/>
              <a:cs typeface="Times New Roman" panose="02020603050405020304" pitchFamily="18" charset="0"/>
            </a:rPr>
            <a:t>1) Go to File &gt; Options</a:t>
          </a:r>
        </a:p>
        <a:p>
          <a:r>
            <a:rPr lang="en-US" sz="1100">
              <a:latin typeface="Times New Roman" panose="02020603050405020304" pitchFamily="18" charset="0"/>
              <a:cs typeface="Times New Roman" panose="02020603050405020304" pitchFamily="18" charset="0"/>
            </a:rPr>
            <a:t>2) Under Formulas, check</a:t>
          </a:r>
          <a:r>
            <a:rPr lang="en-US" sz="1100" baseline="0">
              <a:latin typeface="Times New Roman" panose="02020603050405020304" pitchFamily="18" charset="0"/>
              <a:cs typeface="Times New Roman" panose="02020603050405020304" pitchFamily="18" charset="0"/>
            </a:rPr>
            <a:t> the checkbox marked "Enable Iterative Calculations"</a:t>
          </a:r>
          <a:endParaRPr lang="en-US" sz="1100">
            <a:latin typeface="Times New Roman" panose="02020603050405020304" pitchFamily="18" charset="0"/>
            <a:cs typeface="Times New Roman" panose="02020603050405020304" pitchFamily="18" charset="0"/>
          </a:endParaRPr>
        </a:p>
      </xdr:txBody>
    </xdr:sp>
    <xdr:clientData/>
  </xdr:twoCellAnchor>
  <xdr:twoCellAnchor>
    <xdr:from>
      <xdr:col>19</xdr:col>
      <xdr:colOff>190500</xdr:colOff>
      <xdr:row>55</xdr:row>
      <xdr:rowOff>142875</xdr:rowOff>
    </xdr:from>
    <xdr:to>
      <xdr:col>31</xdr:col>
      <xdr:colOff>476250</xdr:colOff>
      <xdr:row>70</xdr:row>
      <xdr:rowOff>114300</xdr:rowOff>
    </xdr:to>
    <xdr:grpSp>
      <xdr:nvGrpSpPr>
        <xdr:cNvPr id="15" name="Group 14">
          <a:extLst>
            <a:ext uri="{FF2B5EF4-FFF2-40B4-BE49-F238E27FC236}">
              <a16:creationId xmlns:a16="http://schemas.microsoft.com/office/drawing/2014/main" id="{00000000-0008-0000-0A00-00000F000000}"/>
            </a:ext>
          </a:extLst>
        </xdr:cNvPr>
        <xdr:cNvGrpSpPr/>
      </xdr:nvGrpSpPr>
      <xdr:grpSpPr>
        <a:xfrm>
          <a:off x="13220700" y="11658600"/>
          <a:ext cx="8515350" cy="2971800"/>
          <a:chOff x="152400" y="5762625"/>
          <a:chExt cx="9927149" cy="2980257"/>
        </a:xfrm>
      </xdr:grpSpPr>
      <xdr:pic>
        <xdr:nvPicPr>
          <xdr:cNvPr id="16" name="Picture 200">
            <a:extLst>
              <a:ext uri="{FF2B5EF4-FFF2-40B4-BE49-F238E27FC236}">
                <a16:creationId xmlns:a16="http://schemas.microsoft.com/office/drawing/2014/main" id="{00000000-0008-0000-0A00-000010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52400" y="5762625"/>
            <a:ext cx="6352874" cy="29802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pic>
        <xdr:nvPicPr>
          <xdr:cNvPr id="17" name="Picture 201">
            <a:extLst>
              <a:ext uri="{FF2B5EF4-FFF2-40B4-BE49-F238E27FC236}">
                <a16:creationId xmlns:a16="http://schemas.microsoft.com/office/drawing/2014/main" id="{00000000-0008-0000-0A00-00001100000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486525" y="5774531"/>
            <a:ext cx="3593024" cy="2940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grpSp>
    <xdr:clientData/>
  </xdr:twoCellAnchor>
  <xdr:twoCellAnchor editAs="oneCell">
    <xdr:from>
      <xdr:col>22</xdr:col>
      <xdr:colOff>171450</xdr:colOff>
      <xdr:row>33</xdr:row>
      <xdr:rowOff>66675</xdr:rowOff>
    </xdr:from>
    <xdr:to>
      <xdr:col>30</xdr:col>
      <xdr:colOff>294574</xdr:colOff>
      <xdr:row>50</xdr:row>
      <xdr:rowOff>190058</xdr:rowOff>
    </xdr:to>
    <xdr:pic>
      <xdr:nvPicPr>
        <xdr:cNvPr id="13" name="Picture 12">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7"/>
        <a:stretch>
          <a:fillRect/>
        </a:stretch>
      </xdr:blipFill>
      <xdr:spPr>
        <a:xfrm>
          <a:off x="15259050" y="3524250"/>
          <a:ext cx="5609524" cy="3533333"/>
        </a:xfrm>
        <a:prstGeom prst="rect">
          <a:avLst/>
        </a:prstGeom>
      </xdr:spPr>
    </xdr:pic>
    <xdr:clientData/>
  </xdr:twoCellAnchor>
  <xdr:twoCellAnchor editAs="oneCell">
    <xdr:from>
      <xdr:col>19</xdr:col>
      <xdr:colOff>333375</xdr:colOff>
      <xdr:row>34</xdr:row>
      <xdr:rowOff>171450</xdr:rowOff>
    </xdr:from>
    <xdr:to>
      <xdr:col>21</xdr:col>
      <xdr:colOff>495300</xdr:colOff>
      <xdr:row>41</xdr:row>
      <xdr:rowOff>200024</xdr:rowOff>
    </xdr:to>
    <xdr:pic>
      <xdr:nvPicPr>
        <xdr:cNvPr id="18" name="Picture 17">
          <a:extLst>
            <a:ext uri="{FF2B5EF4-FFF2-40B4-BE49-F238E27FC236}">
              <a16:creationId xmlns:a16="http://schemas.microsoft.com/office/drawing/2014/main" id="{00000000-0008-0000-0A00-000012000000}"/>
            </a:ext>
          </a:extLst>
        </xdr:cNvPr>
        <xdr:cNvPicPr>
          <a:picLocks noChangeAspect="1"/>
        </xdr:cNvPicPr>
      </xdr:nvPicPr>
      <xdr:blipFill rotWithShape="1">
        <a:blip xmlns:r="http://schemas.openxmlformats.org/officeDocument/2006/relationships" r:embed="rId8"/>
        <a:srcRect l="24819" t="9581" r="16419"/>
        <a:stretch/>
      </xdr:blipFill>
      <xdr:spPr>
        <a:xfrm>
          <a:off x="13363575" y="7400925"/>
          <a:ext cx="1533525" cy="1438274"/>
        </a:xfrm>
        <a:prstGeom prst="rect">
          <a:avLst/>
        </a:prstGeom>
      </xdr:spPr>
    </xdr:pic>
    <xdr:clientData/>
  </xdr:twoCellAnchor>
  <xdr:twoCellAnchor editAs="oneCell">
    <xdr:from>
      <xdr:col>20</xdr:col>
      <xdr:colOff>228600</xdr:colOff>
      <xdr:row>15</xdr:row>
      <xdr:rowOff>52405</xdr:rowOff>
    </xdr:from>
    <xdr:to>
      <xdr:col>28</xdr:col>
      <xdr:colOff>552450</xdr:colOff>
      <xdr:row>28</xdr:row>
      <xdr:rowOff>28063</xdr:rowOff>
    </xdr:to>
    <xdr:pic>
      <xdr:nvPicPr>
        <xdr:cNvPr id="19" name="Picture 18">
          <a:extLst>
            <a:ext uri="{FF2B5EF4-FFF2-40B4-BE49-F238E27FC236}">
              <a16:creationId xmlns:a16="http://schemas.microsoft.com/office/drawing/2014/main" id="{00000000-0008-0000-0A00-000013000000}"/>
            </a:ext>
          </a:extLst>
        </xdr:cNvPr>
        <xdr:cNvPicPr>
          <a:picLocks noChangeAspect="1"/>
        </xdr:cNvPicPr>
      </xdr:nvPicPr>
      <xdr:blipFill>
        <a:blip xmlns:r="http://schemas.openxmlformats.org/officeDocument/2006/relationships" r:embed="rId9"/>
        <a:stretch>
          <a:fillRect/>
        </a:stretch>
      </xdr:blipFill>
      <xdr:spPr>
        <a:xfrm>
          <a:off x="13944600" y="3109930"/>
          <a:ext cx="5810250" cy="2776008"/>
        </a:xfrm>
        <a:prstGeom prst="rect">
          <a:avLst/>
        </a:prstGeom>
      </xdr:spPr>
    </xdr:pic>
    <xdr:clientData/>
  </xdr:twoCellAnchor>
  <xdr:twoCellAnchor>
    <xdr:from>
      <xdr:col>19</xdr:col>
      <xdr:colOff>152400</xdr:colOff>
      <xdr:row>4</xdr:row>
      <xdr:rowOff>190501</xdr:rowOff>
    </xdr:from>
    <xdr:to>
      <xdr:col>25</xdr:col>
      <xdr:colOff>495300</xdr:colOff>
      <xdr:row>12</xdr:row>
      <xdr:rowOff>57151</xdr:rowOff>
    </xdr:to>
    <xdr:sp macro="" textlink="">
      <xdr:nvSpPr>
        <xdr:cNvPr id="20" name="TextBox 19">
          <a:extLst>
            <a:ext uri="{FF2B5EF4-FFF2-40B4-BE49-F238E27FC236}">
              <a16:creationId xmlns:a16="http://schemas.microsoft.com/office/drawing/2014/main" id="{00000000-0008-0000-0A00-000014000000}"/>
            </a:ext>
          </a:extLst>
        </xdr:cNvPr>
        <xdr:cNvSpPr txBox="1"/>
      </xdr:nvSpPr>
      <xdr:spPr>
        <a:xfrm>
          <a:off x="13182600" y="1047751"/>
          <a:ext cx="4457700" cy="1466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i="1">
              <a:latin typeface="Times New Roman" panose="02020603050405020304" pitchFamily="18" charset="0"/>
              <a:cs typeface="Times New Roman" panose="02020603050405020304" pitchFamily="18" charset="0"/>
            </a:rPr>
            <a:t>T</a:t>
          </a:r>
          <a:r>
            <a:rPr lang="en-US" sz="1200" i="1" baseline="-25000">
              <a:latin typeface="Times New Roman" panose="02020603050405020304" pitchFamily="18" charset="0"/>
              <a:cs typeface="Times New Roman" panose="02020603050405020304" pitchFamily="18" charset="0"/>
            </a:rPr>
            <a:t>15</a:t>
          </a:r>
          <a:r>
            <a:rPr lang="en-US" sz="1200" i="1" baseline="0">
              <a:latin typeface="Times New Roman" panose="02020603050405020304" pitchFamily="18" charset="0"/>
              <a:cs typeface="Times New Roman" panose="02020603050405020304" pitchFamily="18" charset="0"/>
            </a:rPr>
            <a:t> :</a:t>
          </a:r>
          <a:r>
            <a:rPr lang="en-US" sz="1200" i="0" baseline="0">
              <a:latin typeface="Times New Roman" panose="02020603050405020304" pitchFamily="18" charset="0"/>
              <a:cs typeface="Times New Roman" panose="02020603050405020304" pitchFamily="18" charset="0"/>
            </a:rPr>
            <a:t> The cumulative thickness of saturated granular layers with corrected SPT blow counts (N</a:t>
          </a:r>
          <a:r>
            <a:rPr lang="en-US" sz="1200" i="0" baseline="-25000">
              <a:latin typeface="Times New Roman" panose="02020603050405020304" pitchFamily="18" charset="0"/>
              <a:cs typeface="Times New Roman" panose="02020603050405020304" pitchFamily="18" charset="0"/>
            </a:rPr>
            <a:t>1</a:t>
          </a:r>
          <a:r>
            <a:rPr lang="en-US" sz="1200" i="0" baseline="0">
              <a:latin typeface="Times New Roman" panose="02020603050405020304" pitchFamily="18" charset="0"/>
              <a:cs typeface="Times New Roman" panose="02020603050405020304" pitchFamily="18" charset="0"/>
            </a:rPr>
            <a:t>)</a:t>
          </a:r>
          <a:r>
            <a:rPr lang="en-US" sz="1200" i="0" baseline="-25000">
              <a:latin typeface="Times New Roman" panose="02020603050405020304" pitchFamily="18" charset="0"/>
              <a:cs typeface="Times New Roman" panose="02020603050405020304" pitchFamily="18" charset="0"/>
            </a:rPr>
            <a:t>60</a:t>
          </a:r>
          <a:r>
            <a:rPr lang="en-US" sz="1200" i="0" baseline="0">
              <a:latin typeface="Times New Roman" panose="02020603050405020304" pitchFamily="18" charset="0"/>
              <a:cs typeface="Times New Roman" panose="02020603050405020304" pitchFamily="18" charset="0"/>
            </a:rPr>
            <a:t> less than 15.</a:t>
          </a:r>
        </a:p>
        <a:p>
          <a:endParaRPr lang="en-US" sz="1200" i="0" baseline="0">
            <a:latin typeface="Times New Roman" panose="02020603050405020304" pitchFamily="18" charset="0"/>
            <a:cs typeface="Times New Roman" panose="02020603050405020304" pitchFamily="18" charset="0"/>
          </a:endParaRPr>
        </a:p>
        <a:p>
          <a:r>
            <a:rPr lang="en-US" sz="1200" i="1" baseline="0">
              <a:latin typeface="Times New Roman" panose="02020603050405020304" pitchFamily="18" charset="0"/>
              <a:cs typeface="Times New Roman" panose="02020603050405020304" pitchFamily="18" charset="0"/>
            </a:rPr>
            <a:t>F</a:t>
          </a:r>
          <a:r>
            <a:rPr lang="en-US" sz="1200" i="1" baseline="-25000">
              <a:latin typeface="Times New Roman" panose="02020603050405020304" pitchFamily="18" charset="0"/>
              <a:cs typeface="Times New Roman" panose="02020603050405020304" pitchFamily="18" charset="0"/>
            </a:rPr>
            <a:t>15</a:t>
          </a:r>
          <a:r>
            <a:rPr lang="en-US" sz="1200" i="1" baseline="0">
              <a:latin typeface="Times New Roman" panose="02020603050405020304" pitchFamily="18" charset="0"/>
              <a:cs typeface="Times New Roman" panose="02020603050405020304" pitchFamily="18" charset="0"/>
            </a:rPr>
            <a:t> : </a:t>
          </a:r>
          <a:r>
            <a:rPr lang="en-US" sz="1200" i="0" baseline="0">
              <a:latin typeface="Times New Roman" panose="02020603050405020304" pitchFamily="18" charset="0"/>
              <a:cs typeface="Times New Roman" panose="02020603050405020304" pitchFamily="18" charset="0"/>
            </a:rPr>
            <a:t>The average fines content (fraction of sediment sample passing a No. 200 sieve) for granular materials included within </a:t>
          </a:r>
          <a:r>
            <a:rPr lang="en-US" sz="1200" i="1" baseline="0">
              <a:latin typeface="Times New Roman" panose="02020603050405020304" pitchFamily="18" charset="0"/>
              <a:cs typeface="Times New Roman" panose="02020603050405020304" pitchFamily="18" charset="0"/>
            </a:rPr>
            <a:t>T</a:t>
          </a:r>
          <a:r>
            <a:rPr lang="en-US" sz="1200" i="1" baseline="-25000">
              <a:latin typeface="Times New Roman" panose="02020603050405020304" pitchFamily="18" charset="0"/>
              <a:cs typeface="Times New Roman" panose="02020603050405020304" pitchFamily="18" charset="0"/>
            </a:rPr>
            <a:t>15</a:t>
          </a:r>
        </a:p>
        <a:p>
          <a:endParaRPr lang="en-US" sz="1200" i="1" baseline="-25000">
            <a:latin typeface="Times New Roman" panose="02020603050405020304" pitchFamily="18" charset="0"/>
            <a:cs typeface="Times New Roman" panose="02020603050405020304" pitchFamily="18" charset="0"/>
          </a:endParaRPr>
        </a:p>
        <a:p>
          <a:r>
            <a:rPr lang="en-US" sz="1200" i="1" baseline="0">
              <a:latin typeface="Times New Roman" panose="02020603050405020304" pitchFamily="18" charset="0"/>
              <a:cs typeface="Times New Roman" panose="02020603050405020304" pitchFamily="18" charset="0"/>
            </a:rPr>
            <a:t>D50</a:t>
          </a:r>
          <a:r>
            <a:rPr lang="en-US" sz="1200" i="1" baseline="-25000">
              <a:latin typeface="Times New Roman" panose="02020603050405020304" pitchFamily="18" charset="0"/>
              <a:cs typeface="Times New Roman" panose="02020603050405020304" pitchFamily="18" charset="0"/>
            </a:rPr>
            <a:t>15</a:t>
          </a:r>
          <a:r>
            <a:rPr lang="en-US" sz="1200" i="1" baseline="0">
              <a:latin typeface="Times New Roman" panose="02020603050405020304" pitchFamily="18" charset="0"/>
              <a:cs typeface="Times New Roman" panose="02020603050405020304" pitchFamily="18" charset="0"/>
            </a:rPr>
            <a:t> :</a:t>
          </a:r>
          <a:r>
            <a:rPr lang="en-US" sz="1200" i="0" baseline="0">
              <a:latin typeface="Times New Roman" panose="02020603050405020304" pitchFamily="18" charset="0"/>
              <a:cs typeface="Times New Roman" panose="02020603050405020304" pitchFamily="18" charset="0"/>
            </a:rPr>
            <a:t> The average mean grain size for granular materials within </a:t>
          </a:r>
          <a:r>
            <a:rPr lang="en-US" sz="1200" i="1" baseline="0">
              <a:latin typeface="Times New Roman" panose="02020603050405020304" pitchFamily="18" charset="0"/>
              <a:cs typeface="Times New Roman" panose="02020603050405020304" pitchFamily="18" charset="0"/>
            </a:rPr>
            <a:t>T</a:t>
          </a:r>
          <a:r>
            <a:rPr lang="en-US" sz="1200" i="1" baseline="-25000">
              <a:latin typeface="Times New Roman" panose="02020603050405020304" pitchFamily="18" charset="0"/>
              <a:cs typeface="Times New Roman" panose="02020603050405020304" pitchFamily="18" charset="0"/>
            </a:rPr>
            <a:t>15</a:t>
          </a:r>
          <a:endParaRPr lang="en-US" sz="1200" i="1" baseline="0">
            <a:latin typeface="Times New Roman" panose="02020603050405020304" pitchFamily="18" charset="0"/>
            <a:cs typeface="Times New Roman" panose="02020603050405020304" pitchFamily="18" charset="0"/>
          </a:endParaRPr>
        </a:p>
        <a:p>
          <a:endParaRPr lang="en-US" sz="1200" i="1" baseline="0">
            <a:latin typeface="Times New Roman" panose="02020603050405020304" pitchFamily="18" charset="0"/>
            <a:cs typeface="Times New Roman" panose="02020603050405020304" pitchFamily="18" charset="0"/>
          </a:endParaRPr>
        </a:p>
        <a:p>
          <a:endParaRPr lang="en-US" sz="1200" i="1" baseline="0">
            <a:latin typeface="Times New Roman" panose="02020603050405020304" pitchFamily="18" charset="0"/>
            <a:cs typeface="Times New Roman" panose="02020603050405020304" pitchFamily="18" charset="0"/>
          </a:endParaRPr>
        </a:p>
        <a:p>
          <a:endParaRPr lang="en-US" sz="1200" i="1">
            <a:latin typeface="Times New Roman" panose="02020603050405020304" pitchFamily="18" charset="0"/>
            <a:cs typeface="Times New Roman" panose="02020603050405020304" pitchFamily="18" charset="0"/>
          </a:endParaRPr>
        </a:p>
      </xdr:txBody>
    </xdr:sp>
    <xdr:clientData/>
  </xdr:twoCellAnchor>
  <xdr:twoCellAnchor>
    <xdr:from>
      <xdr:col>26</xdr:col>
      <xdr:colOff>142875</xdr:colOff>
      <xdr:row>4</xdr:row>
      <xdr:rowOff>180975</xdr:rowOff>
    </xdr:from>
    <xdr:to>
      <xdr:col>30</xdr:col>
      <xdr:colOff>142875</xdr:colOff>
      <xdr:row>11</xdr:row>
      <xdr:rowOff>28575</xdr:rowOff>
    </xdr:to>
    <xdr:sp macro="" textlink="">
      <xdr:nvSpPr>
        <xdr:cNvPr id="21" name="TextBox 20">
          <a:extLst>
            <a:ext uri="{FF2B5EF4-FFF2-40B4-BE49-F238E27FC236}">
              <a16:creationId xmlns:a16="http://schemas.microsoft.com/office/drawing/2014/main" id="{00000000-0008-0000-0A00-000015000000}"/>
            </a:ext>
          </a:extLst>
        </xdr:cNvPr>
        <xdr:cNvSpPr txBox="1"/>
      </xdr:nvSpPr>
      <xdr:spPr>
        <a:xfrm>
          <a:off x="17973675" y="1038225"/>
          <a:ext cx="2743200" cy="1247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i="1">
              <a:latin typeface="Times New Roman" panose="02020603050405020304" pitchFamily="18" charset="0"/>
              <a:cs typeface="Times New Roman" panose="02020603050405020304" pitchFamily="18" charset="0"/>
            </a:rPr>
            <a:t>S</a:t>
          </a:r>
          <a:r>
            <a:rPr lang="en-US" sz="1200" i="1" baseline="0">
              <a:latin typeface="Times New Roman" panose="02020603050405020304" pitchFamily="18" charset="0"/>
              <a:cs typeface="Times New Roman" panose="02020603050405020304" pitchFamily="18" charset="0"/>
            </a:rPr>
            <a:t> : </a:t>
          </a:r>
          <a:r>
            <a:rPr lang="en-US" sz="1200" i="0" baseline="0">
              <a:latin typeface="Times New Roman" panose="02020603050405020304" pitchFamily="18" charset="0"/>
              <a:cs typeface="Times New Roman" panose="02020603050405020304" pitchFamily="18" charset="0"/>
            </a:rPr>
            <a:t>The ground slope (%)</a:t>
          </a:r>
        </a:p>
        <a:p>
          <a:endParaRPr lang="en-US" sz="1200" i="0" baseline="0">
            <a:latin typeface="Times New Roman" panose="02020603050405020304" pitchFamily="18" charset="0"/>
            <a:cs typeface="Times New Roman" panose="02020603050405020304" pitchFamily="18" charset="0"/>
          </a:endParaRPr>
        </a:p>
        <a:p>
          <a:r>
            <a:rPr lang="en-US" sz="1200" i="1" baseline="0">
              <a:latin typeface="Times New Roman" panose="02020603050405020304" pitchFamily="18" charset="0"/>
              <a:cs typeface="Times New Roman" panose="02020603050405020304" pitchFamily="18" charset="0"/>
            </a:rPr>
            <a:t>W</a:t>
          </a:r>
          <a:r>
            <a:rPr lang="en-US" sz="1200" i="0" baseline="0">
              <a:latin typeface="Times New Roman" panose="02020603050405020304" pitchFamily="18" charset="0"/>
              <a:cs typeface="Times New Roman" panose="02020603050405020304" pitchFamily="18" charset="0"/>
            </a:rPr>
            <a:t> : The free-face ratio defined as the height (H) of the free-face divided by the distance (L) from the base of the free face to the site (%)</a:t>
          </a:r>
          <a:endParaRPr lang="en-US" sz="1200" i="1">
            <a:latin typeface="Times New Roman" panose="02020603050405020304" pitchFamily="18" charset="0"/>
            <a:cs typeface="Times New Roman" panose="02020603050405020304" pitchFamily="18" charset="0"/>
          </a:endParaRPr>
        </a:p>
      </xdr:txBody>
    </xdr:sp>
    <xdr:clientData/>
  </xdr:twoCellAnchor>
  <xdr:twoCellAnchor>
    <xdr:from>
      <xdr:col>19</xdr:col>
      <xdr:colOff>228599</xdr:colOff>
      <xdr:row>73</xdr:row>
      <xdr:rowOff>47625</xdr:rowOff>
    </xdr:from>
    <xdr:to>
      <xdr:col>30</xdr:col>
      <xdr:colOff>542924</xdr:colOff>
      <xdr:row>84</xdr:row>
      <xdr:rowOff>57150</xdr:rowOff>
    </xdr:to>
    <xdr:sp macro="" textlink="">
      <xdr:nvSpPr>
        <xdr:cNvPr id="22" name="TextBox 21">
          <a:extLst>
            <a:ext uri="{FF2B5EF4-FFF2-40B4-BE49-F238E27FC236}">
              <a16:creationId xmlns:a16="http://schemas.microsoft.com/office/drawing/2014/main" id="{00000000-0008-0000-0A00-000016000000}"/>
            </a:ext>
          </a:extLst>
        </xdr:cNvPr>
        <xdr:cNvSpPr txBox="1"/>
      </xdr:nvSpPr>
      <xdr:spPr>
        <a:xfrm>
          <a:off x="13258799" y="15125700"/>
          <a:ext cx="7858125" cy="2209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solidFill>
                <a:schemeClr val="dk1"/>
              </a:solidFill>
              <a:effectLst/>
              <a:latin typeface="Times New Roman" panose="02020603050405020304" pitchFamily="18" charset="0"/>
              <a:ea typeface="+mn-ea"/>
              <a:cs typeface="Times New Roman" panose="02020603050405020304" pitchFamily="18" charset="0"/>
            </a:rPr>
            <a:t>Youd, T.L., Hansen, C.M., and Bartlett, S.F.  (2002). Revised multilinear regression equations for prediction of lateral spread displacement. </a:t>
          </a:r>
          <a:r>
            <a:rPr lang="en-US" sz="1200" i="1">
              <a:solidFill>
                <a:schemeClr val="dk1"/>
              </a:solidFill>
              <a:effectLst/>
              <a:latin typeface="Times New Roman" panose="02020603050405020304" pitchFamily="18" charset="0"/>
              <a:ea typeface="+mn-ea"/>
              <a:cs typeface="Times New Roman" panose="02020603050405020304" pitchFamily="18" charset="0"/>
            </a:rPr>
            <a:t>J. Geotech. Geoenviron. Eng., </a:t>
          </a:r>
          <a:r>
            <a:rPr lang="en-US" sz="1200">
              <a:solidFill>
                <a:schemeClr val="dk1"/>
              </a:solidFill>
              <a:effectLst/>
              <a:latin typeface="Times New Roman" panose="02020603050405020304" pitchFamily="18" charset="0"/>
              <a:ea typeface="+mn-ea"/>
              <a:cs typeface="Times New Roman" panose="02020603050405020304" pitchFamily="18" charset="0"/>
            </a:rPr>
            <a:t>ASCE. 128(12), 1007-1017</a:t>
          </a:r>
          <a:r>
            <a:rPr lang="en-US" sz="1100">
              <a:solidFill>
                <a:schemeClr val="dk1"/>
              </a:solidFill>
              <a:effectLst/>
              <a:latin typeface="+mn-lt"/>
              <a:ea typeface="+mn-ea"/>
              <a:cs typeface="+mn-cs"/>
            </a:rPr>
            <a:t>.</a:t>
          </a:r>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r>
            <a:rPr lang="en-US" sz="1200">
              <a:solidFill>
                <a:schemeClr val="dk1"/>
              </a:solidFill>
              <a:effectLst/>
              <a:latin typeface="Times New Roman" panose="02020603050405020304" pitchFamily="18" charset="0"/>
              <a:ea typeface="+mn-ea"/>
              <a:cs typeface="Times New Roman" panose="02020603050405020304" pitchFamily="18" charset="0"/>
            </a:rPr>
            <a:t>Kramer, S.K., Franke, K.W., Huang, Y.-M., and Baska, D. (2007). Performance-based evaluation of lateral spreading displacement. </a:t>
          </a:r>
          <a:r>
            <a:rPr lang="en-US" sz="1200" i="1">
              <a:solidFill>
                <a:schemeClr val="dk1"/>
              </a:solidFill>
              <a:effectLst/>
              <a:latin typeface="Times New Roman" panose="02020603050405020304" pitchFamily="18" charset="0"/>
              <a:ea typeface="+mn-ea"/>
              <a:cs typeface="Times New Roman" panose="02020603050405020304" pitchFamily="18" charset="0"/>
            </a:rPr>
            <a:t>Proceedings, 4</a:t>
          </a:r>
          <a:r>
            <a:rPr lang="en-US" sz="1200" i="1" baseline="30000">
              <a:solidFill>
                <a:schemeClr val="dk1"/>
              </a:solidFill>
              <a:effectLst/>
              <a:latin typeface="Times New Roman" panose="02020603050405020304" pitchFamily="18" charset="0"/>
              <a:ea typeface="+mn-ea"/>
              <a:cs typeface="Times New Roman" panose="02020603050405020304" pitchFamily="18" charset="0"/>
            </a:rPr>
            <a:t>th</a:t>
          </a:r>
          <a:r>
            <a:rPr lang="en-US" sz="1200" i="1">
              <a:solidFill>
                <a:schemeClr val="dk1"/>
              </a:solidFill>
              <a:effectLst/>
              <a:latin typeface="Times New Roman" panose="02020603050405020304" pitchFamily="18" charset="0"/>
              <a:ea typeface="+mn-ea"/>
              <a:cs typeface="Times New Roman" panose="02020603050405020304" pitchFamily="18" charset="0"/>
            </a:rPr>
            <a:t> International Conference on Earthquake Geotechnical Engineering</a:t>
          </a:r>
          <a:r>
            <a:rPr lang="en-US" sz="1200">
              <a:solidFill>
                <a:schemeClr val="dk1"/>
              </a:solidFill>
              <a:effectLst/>
              <a:latin typeface="Times New Roman" panose="02020603050405020304" pitchFamily="18" charset="0"/>
              <a:ea typeface="+mn-ea"/>
              <a:cs typeface="Times New Roman" panose="02020603050405020304" pitchFamily="18" charset="0"/>
            </a:rPr>
            <a:t>, Paper No. 1208, Thessaloniki, Greece, June 2007.</a:t>
          </a: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pPr marL="0" marR="0" indent="0" defTabSz="914400" eaLnBrk="1" fontAlgn="auto" latinLnBrk="0" hangingPunct="1">
            <a:lnSpc>
              <a:spcPct val="100000"/>
            </a:lnSpc>
            <a:spcBef>
              <a:spcPts val="0"/>
            </a:spcBef>
            <a:spcAft>
              <a:spcPts val="0"/>
            </a:spcAft>
            <a:buClrTx/>
            <a:buSzTx/>
            <a:buFontTx/>
            <a:buNone/>
            <a:tabLst/>
            <a:defRPr/>
          </a:pPr>
          <a:r>
            <a:rPr lang="en-US" sz="1200">
              <a:solidFill>
                <a:schemeClr val="dk1"/>
              </a:solidFill>
              <a:effectLst/>
              <a:latin typeface="Times New Roman" panose="02020603050405020304" pitchFamily="18" charset="0"/>
              <a:ea typeface="+mn-ea"/>
              <a:cs typeface="Times New Roman" panose="02020603050405020304" pitchFamily="18" charset="0"/>
            </a:rPr>
            <a:t>Franke, K.W. and Kramer, S.L. (2014). A procedure for the empirical evaluation of lateral spread displacement hazard curves. </a:t>
          </a:r>
          <a:r>
            <a:rPr lang="en-US" sz="1200" i="1">
              <a:solidFill>
                <a:schemeClr val="dk1"/>
              </a:solidFill>
              <a:effectLst/>
              <a:latin typeface="Times New Roman" panose="02020603050405020304" pitchFamily="18" charset="0"/>
              <a:ea typeface="+mn-ea"/>
              <a:cs typeface="Times New Roman" panose="02020603050405020304" pitchFamily="18" charset="0"/>
            </a:rPr>
            <a:t>J. Geotech. Geoenviron. Eng.</a:t>
          </a:r>
          <a:r>
            <a:rPr lang="en-US" sz="1200">
              <a:solidFill>
                <a:schemeClr val="dk1"/>
              </a:solidFill>
              <a:effectLst/>
              <a:latin typeface="Times New Roman" panose="02020603050405020304" pitchFamily="18" charset="0"/>
              <a:ea typeface="+mn-ea"/>
              <a:cs typeface="Times New Roman" panose="02020603050405020304" pitchFamily="18" charset="0"/>
            </a:rPr>
            <a:t>, ASCE, 140(1), 110-120.</a:t>
          </a: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r>
            <a:rPr lang="en-US" sz="1200">
              <a:solidFill>
                <a:schemeClr val="dk1"/>
              </a:solidFill>
              <a:effectLst/>
              <a:latin typeface="Times New Roman" panose="02020603050405020304" pitchFamily="18" charset="0"/>
              <a:ea typeface="+mn-ea"/>
              <a:cs typeface="Times New Roman" panose="02020603050405020304" pitchFamily="18" charset="0"/>
            </a:rPr>
            <a:t>Ekstrom, L.T., and Franke, K.W. (2015) A Simplified Procedure for the Performance-Based Prediction of Lateral Spread Displacements. </a:t>
          </a:r>
          <a:r>
            <a:rPr lang="en-US" sz="1200" i="1">
              <a:solidFill>
                <a:schemeClr val="dk1"/>
              </a:solidFill>
              <a:effectLst/>
              <a:latin typeface="Times New Roman" panose="02020603050405020304" pitchFamily="18" charset="0"/>
              <a:ea typeface="+mn-ea"/>
              <a:cs typeface="Times New Roman" panose="02020603050405020304" pitchFamily="18" charset="0"/>
            </a:rPr>
            <a:t>J. Geotech. Geoenviron. Eng. </a:t>
          </a:r>
          <a:r>
            <a:rPr lang="en-US" sz="1200">
              <a:solidFill>
                <a:schemeClr val="dk1"/>
              </a:solidFill>
              <a:effectLst/>
              <a:latin typeface="Times New Roman" panose="02020603050405020304" pitchFamily="18" charset="0"/>
              <a:ea typeface="+mn-ea"/>
              <a:cs typeface="Times New Roman" panose="02020603050405020304" pitchFamily="18" charset="0"/>
            </a:rPr>
            <a:t>ASCE (pending)</a:t>
          </a: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200">
            <a:latin typeface="Times New Roman" panose="02020603050405020304" pitchFamily="18" charset="0"/>
            <a:cs typeface="Times New Roman" panose="02020603050405020304" pitchFamily="18" charset="0"/>
          </a:endParaRPr>
        </a:p>
      </xdr:txBody>
    </xdr:sp>
    <xdr:clientData/>
  </xdr:twoCellAnchor>
  <xdr:twoCellAnchor>
    <xdr:from>
      <xdr:col>33</xdr:col>
      <xdr:colOff>571500</xdr:colOff>
      <xdr:row>3</xdr:row>
      <xdr:rowOff>123825</xdr:rowOff>
    </xdr:from>
    <xdr:to>
      <xdr:col>40</xdr:col>
      <xdr:colOff>228600</xdr:colOff>
      <xdr:row>11</xdr:row>
      <xdr:rowOff>38101</xdr:rowOff>
    </xdr:to>
    <xdr:sp macro="" textlink="">
      <xdr:nvSpPr>
        <xdr:cNvPr id="24" name="TextBox 23">
          <a:extLst>
            <a:ext uri="{FF2B5EF4-FFF2-40B4-BE49-F238E27FC236}">
              <a16:creationId xmlns:a16="http://schemas.microsoft.com/office/drawing/2014/main" id="{00000000-0008-0000-0A00-000018000000}"/>
            </a:ext>
          </a:extLst>
        </xdr:cNvPr>
        <xdr:cNvSpPr txBox="1"/>
      </xdr:nvSpPr>
      <xdr:spPr>
        <a:xfrm>
          <a:off x="23202900" y="781050"/>
          <a:ext cx="4457700" cy="15144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i="1" baseline="0">
              <a:latin typeface="Times New Roman" panose="02020603050405020304" pitchFamily="18" charset="0"/>
              <a:cs typeface="Times New Roman" panose="02020603050405020304" pitchFamily="18" charset="0"/>
            </a:rPr>
            <a:t>PGA,</a:t>
          </a:r>
          <a:r>
            <a:rPr lang="en-US" sz="1200" i="0" baseline="0">
              <a:latin typeface="Times New Roman" panose="02020603050405020304" pitchFamily="18" charset="0"/>
              <a:cs typeface="Times New Roman" panose="02020603050405020304" pitchFamily="18" charset="0"/>
            </a:rPr>
            <a:t> </a:t>
          </a:r>
          <a:r>
            <a:rPr lang="en-US" sz="1200" i="1" baseline="0">
              <a:latin typeface="Times New Roman" panose="02020603050405020304" pitchFamily="18" charset="0"/>
              <a:cs typeface="Times New Roman" panose="02020603050405020304" pitchFamily="18" charset="0"/>
            </a:rPr>
            <a:t>F</a:t>
          </a:r>
          <a:r>
            <a:rPr lang="en-US" sz="1200" i="1" baseline="-25000">
              <a:latin typeface="Times New Roman" panose="02020603050405020304" pitchFamily="18" charset="0"/>
              <a:cs typeface="Times New Roman" panose="02020603050405020304" pitchFamily="18" charset="0"/>
            </a:rPr>
            <a:t>PGA</a:t>
          </a:r>
          <a:r>
            <a:rPr lang="en-US" sz="1200" i="1" baseline="0">
              <a:latin typeface="Times New Roman" panose="02020603050405020304" pitchFamily="18" charset="0"/>
              <a:cs typeface="Times New Roman" panose="02020603050405020304" pitchFamily="18" charset="0"/>
            </a:rPr>
            <a:t> </a:t>
          </a:r>
          <a:r>
            <a:rPr lang="en-US" sz="1200" i="1" baseline="-25000">
              <a:latin typeface="Times New Roman" panose="02020603050405020304" pitchFamily="18" charset="0"/>
              <a:cs typeface="Times New Roman" panose="02020603050405020304" pitchFamily="18" charset="0"/>
            </a:rPr>
            <a:t>,</a:t>
          </a:r>
          <a:r>
            <a:rPr lang="en-US" sz="1200" i="1" baseline="0">
              <a:latin typeface="Times New Roman" panose="02020603050405020304" pitchFamily="18" charset="0"/>
              <a:cs typeface="Times New Roman" panose="02020603050405020304" pitchFamily="18" charset="0"/>
            </a:rPr>
            <a:t>M</a:t>
          </a:r>
          <a:r>
            <a:rPr lang="en-US" sz="1200" i="1" baseline="-25000">
              <a:latin typeface="Times New Roman" panose="02020603050405020304" pitchFamily="18" charset="0"/>
              <a:cs typeface="Times New Roman" panose="02020603050405020304" pitchFamily="18" charset="0"/>
            </a:rPr>
            <a:t>w</a:t>
          </a:r>
          <a:r>
            <a:rPr lang="en-US" sz="1200" i="1" baseline="0">
              <a:latin typeface="Times New Roman" panose="02020603050405020304" pitchFamily="18" charset="0"/>
              <a:cs typeface="Times New Roman" panose="02020603050405020304" pitchFamily="18" charset="0"/>
            </a:rPr>
            <a:t> , </a:t>
          </a:r>
          <a:r>
            <a:rPr lang="en-US" sz="1200" i="0" baseline="0">
              <a:latin typeface="Times New Roman" panose="02020603050405020304" pitchFamily="18" charset="0"/>
              <a:cs typeface="Times New Roman" panose="02020603050405020304" pitchFamily="18" charset="0"/>
            </a:rPr>
            <a:t>and </a:t>
          </a:r>
          <a:r>
            <a:rPr lang="en-US" sz="1200" i="0" baseline="0">
              <a:solidFill>
                <a:schemeClr val="dk1"/>
              </a:solidFill>
              <a:effectLst/>
              <a:latin typeface="Times New Roman" panose="02020603050405020304" pitchFamily="18" charset="0"/>
              <a:ea typeface="+mn-ea"/>
              <a:cs typeface="Times New Roman" panose="02020603050405020304" pitchFamily="18" charset="0"/>
            </a:rPr>
            <a:t>Site Class as described in the liquefaction initiation/settlement references.</a:t>
          </a:r>
        </a:p>
        <a:p>
          <a:endParaRPr lang="en-US" sz="1200" i="0" baseline="0">
            <a:solidFill>
              <a:schemeClr val="dk1"/>
            </a:solidFill>
            <a:effectLst/>
            <a:latin typeface="Times New Roman" panose="02020603050405020304" pitchFamily="18" charset="0"/>
            <a:ea typeface="+mn-ea"/>
            <a:cs typeface="Times New Roman" panose="02020603050405020304" pitchFamily="18" charset="0"/>
          </a:endParaRPr>
        </a:p>
        <a:p>
          <a:r>
            <a:rPr lang="en-US" sz="1200" i="1" baseline="0">
              <a:solidFill>
                <a:schemeClr val="dk1"/>
              </a:solidFill>
              <a:effectLst/>
              <a:latin typeface="Times New Roman" panose="02020603050405020304" pitchFamily="18" charset="0"/>
              <a:ea typeface="+mn-ea"/>
              <a:cs typeface="Times New Roman" panose="02020603050405020304" pitchFamily="18" charset="0"/>
            </a:rPr>
            <a:t>k</a:t>
          </a:r>
          <a:r>
            <a:rPr lang="en-US" sz="1200" i="1" baseline="-25000">
              <a:solidFill>
                <a:schemeClr val="dk1"/>
              </a:solidFill>
              <a:effectLst/>
              <a:latin typeface="Times New Roman" panose="02020603050405020304" pitchFamily="18" charset="0"/>
              <a:ea typeface="+mn-ea"/>
              <a:cs typeface="Times New Roman" panose="02020603050405020304" pitchFamily="18" charset="0"/>
            </a:rPr>
            <a:t>y </a:t>
          </a:r>
          <a:r>
            <a:rPr lang="en-US" sz="1200" i="1" baseline="0">
              <a:solidFill>
                <a:schemeClr val="dk1"/>
              </a:solidFill>
              <a:effectLst/>
              <a:latin typeface="Times New Roman" panose="02020603050405020304" pitchFamily="18" charset="0"/>
              <a:ea typeface="+mn-ea"/>
              <a:cs typeface="Times New Roman" panose="02020603050405020304" pitchFamily="18" charset="0"/>
            </a:rPr>
            <a:t> : </a:t>
          </a:r>
          <a:r>
            <a:rPr lang="en-US" sz="1200" i="0" baseline="0">
              <a:solidFill>
                <a:schemeClr val="dk1"/>
              </a:solidFill>
              <a:effectLst/>
              <a:latin typeface="Times New Roman" panose="02020603050405020304" pitchFamily="18" charset="0"/>
              <a:ea typeface="+mn-ea"/>
              <a:cs typeface="Times New Roman" panose="02020603050405020304" pitchFamily="18" charset="0"/>
            </a:rPr>
            <a:t>Yield acceleration. This term represents the horizontal acceleration in units of g, that results in a factor of safety of 1.0 and initiates sliding in the slope. It can be derived from an infite slope approximation of a shallow failure surface, along with the geometry and shear strenght parameters of the slope. (Rathje and Saygili, 2009)</a:t>
          </a:r>
          <a:endParaRPr lang="en-US" sz="1200" i="1">
            <a:latin typeface="Times New Roman" panose="02020603050405020304" pitchFamily="18" charset="0"/>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xdr:from>
          <xdr:col>33</xdr:col>
          <xdr:colOff>228600</xdr:colOff>
          <xdr:row>24</xdr:row>
          <xdr:rowOff>28575</xdr:rowOff>
        </xdr:from>
        <xdr:to>
          <xdr:col>35</xdr:col>
          <xdr:colOff>609600</xdr:colOff>
          <xdr:row>26</xdr:row>
          <xdr:rowOff>76200</xdr:rowOff>
        </xdr:to>
        <xdr:sp macro="" textlink="">
          <xdr:nvSpPr>
            <xdr:cNvPr id="14338" name="Object 2" hidden="1">
              <a:extLst>
                <a:ext uri="{63B3BB69-23CF-44E3-9099-C40C66FF867C}">
                  <a14:compatExt spid="_x0000_s14338"/>
                </a:ext>
                <a:ext uri="{FF2B5EF4-FFF2-40B4-BE49-F238E27FC236}">
                  <a16:creationId xmlns:a16="http://schemas.microsoft.com/office/drawing/2014/main" id="{00000000-0008-0000-0A00-000002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34</xdr:col>
      <xdr:colOff>552450</xdr:colOff>
      <xdr:row>14</xdr:row>
      <xdr:rowOff>133350</xdr:rowOff>
    </xdr:from>
    <xdr:to>
      <xdr:col>38</xdr:col>
      <xdr:colOff>542925</xdr:colOff>
      <xdr:row>22</xdr:row>
      <xdr:rowOff>190500</xdr:rowOff>
    </xdr:to>
    <xdr:pic>
      <xdr:nvPicPr>
        <xdr:cNvPr id="26" name="Picture 25">
          <a:extLst>
            <a:ext uri="{FF2B5EF4-FFF2-40B4-BE49-F238E27FC236}">
              <a16:creationId xmlns:a16="http://schemas.microsoft.com/office/drawing/2014/main" id="{00000000-0008-0000-0A00-00001A000000}"/>
            </a:ext>
          </a:extLst>
        </xdr:cNvPr>
        <xdr:cNvPicPr/>
      </xdr:nvPicPr>
      <xdr:blipFill rotWithShape="1">
        <a:blip xmlns:r="http://schemas.openxmlformats.org/officeDocument/2006/relationships" r:embed="rId10"/>
        <a:srcRect l="11078" t="3289" r="2956" b="5120"/>
        <a:stretch/>
      </xdr:blipFill>
      <xdr:spPr bwMode="auto">
        <a:xfrm>
          <a:off x="23869650" y="2990850"/>
          <a:ext cx="2733675" cy="1857375"/>
        </a:xfrm>
        <a:prstGeom prst="rect">
          <a:avLst/>
        </a:prstGeom>
        <a:ln>
          <a:noFill/>
        </a:ln>
        <a:extLst>
          <a:ext uri="{53640926-AAD7-44D8-BBD7-CCE9431645EC}">
            <a14:shadowObscured xmlns:a14="http://schemas.microsoft.com/office/drawing/2010/main"/>
          </a:ext>
        </a:extLst>
      </xdr:spPr>
    </xdr:pic>
    <xdr:clientData/>
  </xdr:twoCellAnchor>
  <mc:AlternateContent xmlns:mc="http://schemas.openxmlformats.org/markup-compatibility/2006">
    <mc:Choice xmlns:a14="http://schemas.microsoft.com/office/drawing/2010/main" Requires="a14">
      <xdr:twoCellAnchor>
        <xdr:from>
          <xdr:col>36</xdr:col>
          <xdr:colOff>476250</xdr:colOff>
          <xdr:row>24</xdr:row>
          <xdr:rowOff>9525</xdr:rowOff>
        </xdr:from>
        <xdr:to>
          <xdr:col>40</xdr:col>
          <xdr:colOff>123825</xdr:colOff>
          <xdr:row>26</xdr:row>
          <xdr:rowOff>28575</xdr:rowOff>
        </xdr:to>
        <xdr:sp macro="" textlink="">
          <xdr:nvSpPr>
            <xdr:cNvPr id="14339" name="Object 3" hidden="1">
              <a:extLst>
                <a:ext uri="{63B3BB69-23CF-44E3-9099-C40C66FF867C}">
                  <a14:compatExt spid="_x0000_s14339"/>
                </a:ext>
                <a:ext uri="{FF2B5EF4-FFF2-40B4-BE49-F238E27FC236}">
                  <a16:creationId xmlns:a16="http://schemas.microsoft.com/office/drawing/2014/main" id="{00000000-0008-0000-0A00-000003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34</xdr:col>
      <xdr:colOff>0</xdr:colOff>
      <xdr:row>31</xdr:row>
      <xdr:rowOff>0</xdr:rowOff>
    </xdr:from>
    <xdr:to>
      <xdr:col>40</xdr:col>
      <xdr:colOff>342900</xdr:colOff>
      <xdr:row>37</xdr:row>
      <xdr:rowOff>0</xdr:rowOff>
    </xdr:to>
    <xdr:sp macro="" textlink="">
      <xdr:nvSpPr>
        <xdr:cNvPr id="28" name="TextBox 27">
          <a:extLst>
            <a:ext uri="{FF2B5EF4-FFF2-40B4-BE49-F238E27FC236}">
              <a16:creationId xmlns:a16="http://schemas.microsoft.com/office/drawing/2014/main" id="{00000000-0008-0000-0A00-00001C000000}"/>
            </a:ext>
          </a:extLst>
        </xdr:cNvPr>
        <xdr:cNvSpPr txBox="1"/>
      </xdr:nvSpPr>
      <xdr:spPr>
        <a:xfrm>
          <a:off x="23317200" y="6524625"/>
          <a:ext cx="4457700" cy="1343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i="0" baseline="0">
              <a:latin typeface="Times New Roman" panose="02020603050405020304" pitchFamily="18" charset="0"/>
              <a:cs typeface="Times New Roman" panose="02020603050405020304" pitchFamily="18" charset="0"/>
            </a:rPr>
            <a:t>In areas of very low seismicity with PGA ≤ 0.1g and ky </a:t>
          </a:r>
          <a:r>
            <a:rPr lang="en-US" sz="1200" i="0" baseline="0">
              <a:solidFill>
                <a:schemeClr val="dk1"/>
              </a:solidFill>
              <a:effectLst/>
              <a:latin typeface="Times New Roman" panose="02020603050405020304" pitchFamily="18" charset="0"/>
              <a:ea typeface="+mn-ea"/>
              <a:cs typeface="Times New Roman" panose="02020603050405020304" pitchFamily="18" charset="0"/>
            </a:rPr>
            <a:t>≤ 0.17g</a:t>
          </a:r>
          <a:r>
            <a:rPr lang="en-US" sz="1200" i="0" baseline="0">
              <a:latin typeface="Times New Roman" panose="02020603050405020304" pitchFamily="18" charset="0"/>
              <a:cs typeface="Times New Roman" panose="02020603050405020304" pitchFamily="18" charset="0"/>
            </a:rPr>
            <a:t>, the Rathje and Saygili 2009 model tends to overpredict displacements. The simplified perfomance-based tool will not report values computed with this method automatically, but values computed with the Bray and Travasarou 2007 method will be available yielding a more reasonable approximation of possible displacements in these areas.</a:t>
          </a:r>
          <a:endParaRPr lang="en-US" sz="1200" i="0">
            <a:latin typeface="Times New Roman" panose="02020603050405020304" pitchFamily="18" charset="0"/>
            <a:cs typeface="Times New Roman" panose="02020603050405020304" pitchFamily="18" charset="0"/>
          </a:endParaRPr>
        </a:p>
      </xdr:txBody>
    </xdr:sp>
    <xdr:clientData/>
  </xdr:twoCellAnchor>
  <xdr:twoCellAnchor>
    <xdr:from>
      <xdr:col>33</xdr:col>
      <xdr:colOff>657225</xdr:colOff>
      <xdr:row>40</xdr:row>
      <xdr:rowOff>190500</xdr:rowOff>
    </xdr:from>
    <xdr:to>
      <xdr:col>45</xdr:col>
      <xdr:colOff>285750</xdr:colOff>
      <xdr:row>46</xdr:row>
      <xdr:rowOff>180975</xdr:rowOff>
    </xdr:to>
    <xdr:sp macro="" textlink="">
      <xdr:nvSpPr>
        <xdr:cNvPr id="29" name="TextBox 28">
          <a:extLst>
            <a:ext uri="{FF2B5EF4-FFF2-40B4-BE49-F238E27FC236}">
              <a16:creationId xmlns:a16="http://schemas.microsoft.com/office/drawing/2014/main" id="{00000000-0008-0000-0A00-00001D000000}"/>
            </a:ext>
          </a:extLst>
        </xdr:cNvPr>
        <xdr:cNvSpPr txBox="1"/>
      </xdr:nvSpPr>
      <xdr:spPr>
        <a:xfrm>
          <a:off x="23288625" y="8667750"/>
          <a:ext cx="7858125" cy="1190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457200" marR="0" indent="-457200">
            <a:lnSpc>
              <a:spcPct val="150000"/>
            </a:lnSpc>
            <a:spcBef>
              <a:spcPts val="0"/>
            </a:spcBef>
            <a:spcAft>
              <a:spcPts val="0"/>
            </a:spcAft>
          </a:pPr>
          <a:r>
            <a:rPr lang="en-US" sz="1200">
              <a:effectLst/>
              <a:latin typeface="Times New Roman" panose="02020603050405020304" pitchFamily="18" charset="0"/>
              <a:ea typeface="Times New Roman" panose="02020603050405020304" pitchFamily="18" charset="0"/>
            </a:rPr>
            <a:t>Bray, J. D., ASCE, F., &amp; Travasarou, T. (2007, April). Simplified Procedure for Estimating Earthquake-Induced Deviatoric</a:t>
          </a:r>
          <a:r>
            <a:rPr lang="en-US" sz="1200" baseline="0">
              <a:effectLst/>
              <a:latin typeface="Times New Roman" panose="02020603050405020304" pitchFamily="18" charset="0"/>
              <a:ea typeface="Times New Roman" panose="02020603050405020304" pitchFamily="18" charset="0"/>
            </a:rPr>
            <a:t> </a:t>
          </a:r>
          <a:r>
            <a:rPr lang="en-US" sz="1200">
              <a:effectLst/>
              <a:latin typeface="Times New Roman" panose="02020603050405020304" pitchFamily="18" charset="0"/>
              <a:ea typeface="Times New Roman" panose="02020603050405020304" pitchFamily="18" charset="0"/>
            </a:rPr>
            <a:t>Slope Displacements. </a:t>
          </a:r>
          <a:r>
            <a:rPr lang="en-US" sz="1200" i="1">
              <a:effectLst/>
              <a:latin typeface="Times New Roman" panose="02020603050405020304" pitchFamily="18" charset="0"/>
              <a:ea typeface="Times New Roman" panose="02020603050405020304" pitchFamily="18" charset="0"/>
            </a:rPr>
            <a:t>Journal of Geotechnical and Geoenvironmental Engineering</a:t>
          </a:r>
          <a:r>
            <a:rPr lang="en-US" sz="1200">
              <a:effectLst/>
              <a:latin typeface="Times New Roman" panose="02020603050405020304" pitchFamily="18" charset="0"/>
              <a:ea typeface="Times New Roman" panose="02020603050405020304" pitchFamily="18" charset="0"/>
            </a:rPr>
            <a:t>, 381-392.</a:t>
          </a:r>
        </a:p>
        <a:p>
          <a:pPr marL="457200" marR="0" indent="-457200">
            <a:lnSpc>
              <a:spcPct val="150000"/>
            </a:lnSpc>
            <a:spcBef>
              <a:spcPts val="0"/>
            </a:spcBef>
            <a:spcAft>
              <a:spcPts val="0"/>
            </a:spcAft>
          </a:pPr>
          <a:r>
            <a:rPr lang="en-US" sz="1200">
              <a:effectLst/>
              <a:latin typeface="Times New Roman" panose="02020603050405020304" pitchFamily="18" charset="0"/>
              <a:ea typeface="Times New Roman" panose="02020603050405020304" pitchFamily="18" charset="0"/>
            </a:rPr>
            <a:t>Rathje, E. M., &amp; Saygili, G. (2009, March). Probabilistic Assesment of Earthquake-Induced Sliding Displacements of Natural Slopes. </a:t>
          </a:r>
          <a:r>
            <a:rPr lang="en-US" sz="1200" i="1">
              <a:effectLst/>
              <a:latin typeface="Times New Roman" panose="02020603050405020304" pitchFamily="18" charset="0"/>
              <a:ea typeface="Times New Roman" panose="02020603050405020304" pitchFamily="18" charset="0"/>
            </a:rPr>
            <a:t>Bulletin of the New Zeland Society of Earthquake Engineering, 42</a:t>
          </a:r>
          <a:r>
            <a:rPr lang="en-US" sz="1200">
              <a:effectLst/>
              <a:latin typeface="Times New Roman" panose="02020603050405020304" pitchFamily="18" charset="0"/>
              <a:ea typeface="Times New Roman" panose="02020603050405020304" pitchFamily="18" charset="0"/>
            </a:rPr>
            <a:t>(1), 18-27.</a:t>
          </a: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200">
            <a:solidFill>
              <a:schemeClr val="dk1"/>
            </a:solidFill>
            <a:effectLst/>
            <a:latin typeface="Times New Roman" panose="02020603050405020304" pitchFamily="18" charset="0"/>
            <a:ea typeface="+mn-ea"/>
            <a:cs typeface="Times New Roman" panose="02020603050405020304" pitchFamily="18" charset="0"/>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100">
            <a:solidFill>
              <a:schemeClr val="dk1"/>
            </a:solidFill>
            <a:effectLst/>
            <a:latin typeface="+mn-lt"/>
            <a:ea typeface="+mn-ea"/>
            <a:cs typeface="+mn-cs"/>
          </a:endParaRPr>
        </a:p>
        <a:p>
          <a:endParaRPr lang="en-US" sz="1200">
            <a:latin typeface="Times New Roman" panose="02020603050405020304" pitchFamily="18" charset="0"/>
            <a:cs typeface="Times New Roman" panose="02020603050405020304" pitchFamily="18" charset="0"/>
          </a:endParaRPr>
        </a:p>
      </xdr:txBody>
    </xdr:sp>
    <xdr:clientData/>
  </xdr:twoCellAnchor>
  <xdr:twoCellAnchor editAs="oneCell">
    <xdr:from>
      <xdr:col>19</xdr:col>
      <xdr:colOff>285751</xdr:colOff>
      <xdr:row>86</xdr:row>
      <xdr:rowOff>61914</xdr:rowOff>
    </xdr:from>
    <xdr:to>
      <xdr:col>25</xdr:col>
      <xdr:colOff>561376</xdr:colOff>
      <xdr:row>118</xdr:row>
      <xdr:rowOff>166688</xdr:rowOff>
    </xdr:to>
    <xdr:pic>
      <xdr:nvPicPr>
        <xdr:cNvPr id="27" name="Picture 7">
          <a:extLst>
            <a:ext uri="{FF2B5EF4-FFF2-40B4-BE49-F238E27FC236}">
              <a16:creationId xmlns:a16="http://schemas.microsoft.com/office/drawing/2014/main" id="{00000000-0008-0000-0A00-00001B00000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3315951" y="17892714"/>
          <a:ext cx="4390425" cy="650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25</xdr:col>
      <xdr:colOff>580175</xdr:colOff>
      <xdr:row>86</xdr:row>
      <xdr:rowOff>190498</xdr:rowOff>
    </xdr:from>
    <xdr:to>
      <xdr:col>32</xdr:col>
      <xdr:colOff>142874</xdr:colOff>
      <xdr:row>119</xdr:row>
      <xdr:rowOff>69676</xdr:rowOff>
    </xdr:to>
    <xdr:pic>
      <xdr:nvPicPr>
        <xdr:cNvPr id="30" name="Picture 6">
          <a:extLst>
            <a:ext uri="{FF2B5EF4-FFF2-40B4-BE49-F238E27FC236}">
              <a16:creationId xmlns:a16="http://schemas.microsoft.com/office/drawing/2014/main" id="{00000000-0008-0000-0A00-00001E000000}"/>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7725175" y="18021298"/>
          <a:ext cx="4363299" cy="64800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7.wmf"/><Relationship Id="rId3" Type="http://schemas.openxmlformats.org/officeDocument/2006/relationships/vmlDrawing" Target="../drawings/vmlDrawing4.vml"/><Relationship Id="rId7" Type="http://schemas.openxmlformats.org/officeDocument/2006/relationships/image" Target="../media/image4.wmf"/><Relationship Id="rId12" Type="http://schemas.openxmlformats.org/officeDocument/2006/relationships/oleObject" Target="../embeddings/oleObject5.bin"/><Relationship Id="rId2" Type="http://schemas.openxmlformats.org/officeDocument/2006/relationships/drawing" Target="../drawings/drawing5.xml"/><Relationship Id="rId1" Type="http://schemas.openxmlformats.org/officeDocument/2006/relationships/printerSettings" Target="../printerSettings/printerSettings7.bin"/><Relationship Id="rId6" Type="http://schemas.openxmlformats.org/officeDocument/2006/relationships/oleObject" Target="../embeddings/oleObject2.bin"/><Relationship Id="rId11" Type="http://schemas.openxmlformats.org/officeDocument/2006/relationships/image" Target="../media/image6.emf"/><Relationship Id="rId5" Type="http://schemas.openxmlformats.org/officeDocument/2006/relationships/image" Target="../media/image3.wmf"/><Relationship Id="rId15" Type="http://schemas.openxmlformats.org/officeDocument/2006/relationships/image" Target="../media/image8.wmf"/><Relationship Id="rId10" Type="http://schemas.openxmlformats.org/officeDocument/2006/relationships/oleObject" Target="../embeddings/oleObject4.bin"/><Relationship Id="rId4" Type="http://schemas.openxmlformats.org/officeDocument/2006/relationships/oleObject" Target="../embeddings/oleObject1.bin"/><Relationship Id="rId9" Type="http://schemas.openxmlformats.org/officeDocument/2006/relationships/image" Target="../media/image5.wmf"/><Relationship Id="rId14" Type="http://schemas.openxmlformats.org/officeDocument/2006/relationships/oleObject" Target="../embeddings/oleObject6.bin"/></Relationships>
</file>

<file path=xl/worksheets/_rels/sheet10.xml.rels><?xml version="1.0" encoding="UTF-8" standalone="yes"?>
<Relationships xmlns="http://schemas.openxmlformats.org/package/2006/relationships"><Relationship Id="rId8" Type="http://schemas.openxmlformats.org/officeDocument/2006/relationships/oleObject" Target="../embeddings/oleObject9.bin"/><Relationship Id="rId13" Type="http://schemas.openxmlformats.org/officeDocument/2006/relationships/image" Target="../media/image13.emf"/><Relationship Id="rId18" Type="http://schemas.openxmlformats.org/officeDocument/2006/relationships/oleObject" Target="../embeddings/oleObject14.bin"/><Relationship Id="rId3" Type="http://schemas.openxmlformats.org/officeDocument/2006/relationships/vmlDrawing" Target="../drawings/vmlDrawing5.vml"/><Relationship Id="rId21" Type="http://schemas.openxmlformats.org/officeDocument/2006/relationships/image" Target="../media/image16.emf"/><Relationship Id="rId7" Type="http://schemas.openxmlformats.org/officeDocument/2006/relationships/image" Target="../media/image10.emf"/><Relationship Id="rId12" Type="http://schemas.openxmlformats.org/officeDocument/2006/relationships/oleObject" Target="../embeddings/oleObject11.bin"/><Relationship Id="rId17" Type="http://schemas.openxmlformats.org/officeDocument/2006/relationships/image" Target="../media/image15.emf"/><Relationship Id="rId2" Type="http://schemas.openxmlformats.org/officeDocument/2006/relationships/drawing" Target="../drawings/drawing6.xml"/><Relationship Id="rId16" Type="http://schemas.openxmlformats.org/officeDocument/2006/relationships/oleObject" Target="../embeddings/oleObject13.bin"/><Relationship Id="rId20" Type="http://schemas.openxmlformats.org/officeDocument/2006/relationships/oleObject" Target="../embeddings/oleObject16.bin"/><Relationship Id="rId1" Type="http://schemas.openxmlformats.org/officeDocument/2006/relationships/printerSettings" Target="../printerSettings/printerSettings8.bin"/><Relationship Id="rId6" Type="http://schemas.openxmlformats.org/officeDocument/2006/relationships/oleObject" Target="../embeddings/oleObject8.bin"/><Relationship Id="rId11" Type="http://schemas.openxmlformats.org/officeDocument/2006/relationships/image" Target="../media/image12.emf"/><Relationship Id="rId5" Type="http://schemas.openxmlformats.org/officeDocument/2006/relationships/image" Target="../media/image9.emf"/><Relationship Id="rId15" Type="http://schemas.openxmlformats.org/officeDocument/2006/relationships/image" Target="../media/image14.emf"/><Relationship Id="rId10" Type="http://schemas.openxmlformats.org/officeDocument/2006/relationships/oleObject" Target="../embeddings/oleObject10.bin"/><Relationship Id="rId19" Type="http://schemas.openxmlformats.org/officeDocument/2006/relationships/oleObject" Target="../embeddings/oleObject15.bin"/><Relationship Id="rId4" Type="http://schemas.openxmlformats.org/officeDocument/2006/relationships/oleObject" Target="../embeddings/oleObject7.bin"/><Relationship Id="rId9" Type="http://schemas.openxmlformats.org/officeDocument/2006/relationships/image" Target="../media/image11.emf"/><Relationship Id="rId14" Type="http://schemas.openxmlformats.org/officeDocument/2006/relationships/oleObject" Target="../embeddings/oleObject12.bin"/></Relationships>
</file>

<file path=xl/worksheets/_rels/sheet11.xml.rels><?xml version="1.0" encoding="UTF-8" standalone="yes"?>
<Relationships xmlns="http://schemas.openxmlformats.org/package/2006/relationships"><Relationship Id="rId8" Type="http://schemas.openxmlformats.org/officeDocument/2006/relationships/oleObject" Target="../embeddings/oleObject19.bin"/><Relationship Id="rId3" Type="http://schemas.openxmlformats.org/officeDocument/2006/relationships/vmlDrawing" Target="../drawings/vmlDrawing6.vml"/><Relationship Id="rId7" Type="http://schemas.openxmlformats.org/officeDocument/2006/relationships/image" Target="../media/image18.wmf"/><Relationship Id="rId2" Type="http://schemas.openxmlformats.org/officeDocument/2006/relationships/drawing" Target="../drawings/drawing7.xml"/><Relationship Id="rId1" Type="http://schemas.openxmlformats.org/officeDocument/2006/relationships/printerSettings" Target="../printerSettings/printerSettings9.bin"/><Relationship Id="rId6" Type="http://schemas.openxmlformats.org/officeDocument/2006/relationships/oleObject" Target="../embeddings/oleObject18.bin"/><Relationship Id="rId5" Type="http://schemas.openxmlformats.org/officeDocument/2006/relationships/image" Target="../media/image17.wmf"/><Relationship Id="rId4" Type="http://schemas.openxmlformats.org/officeDocument/2006/relationships/oleObject" Target="../embeddings/oleObject17.bin"/><Relationship Id="rId9" Type="http://schemas.openxmlformats.org/officeDocument/2006/relationships/image" Target="../media/image19.wmf"/></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dimension ref="B2:H35"/>
  <sheetViews>
    <sheetView showGridLines="0" workbookViewId="0"/>
  </sheetViews>
  <sheetFormatPr defaultRowHeight="15.75" x14ac:dyDescent="0.25"/>
  <cols>
    <col min="5" max="5" width="14.75" bestFit="1" customWidth="1"/>
  </cols>
  <sheetData>
    <row r="2" spans="2:8" ht="15.75" customHeight="1" x14ac:dyDescent="0.25">
      <c r="B2" s="575" t="s">
        <v>392</v>
      </c>
      <c r="C2" s="575"/>
      <c r="D2" s="575"/>
      <c r="E2" s="575"/>
      <c r="F2" s="575"/>
      <c r="G2" s="575"/>
      <c r="H2" s="575"/>
    </row>
    <row r="3" spans="2:8" ht="15.75" customHeight="1" x14ac:dyDescent="0.25">
      <c r="B3" s="575"/>
      <c r="C3" s="575"/>
      <c r="D3" s="575"/>
      <c r="E3" s="575"/>
      <c r="F3" s="575"/>
      <c r="G3" s="575"/>
      <c r="H3" s="575"/>
    </row>
    <row r="4" spans="2:8" x14ac:dyDescent="0.25">
      <c r="B4" s="575"/>
      <c r="C4" s="575"/>
      <c r="D4" s="575"/>
      <c r="E4" s="575"/>
      <c r="F4" s="575"/>
      <c r="G4" s="575"/>
      <c r="H4" s="575"/>
    </row>
    <row r="6" spans="2:8" x14ac:dyDescent="0.25">
      <c r="B6" s="572" t="s">
        <v>391</v>
      </c>
      <c r="C6" s="572"/>
      <c r="D6" s="572"/>
      <c r="E6" s="572"/>
      <c r="F6" s="572"/>
      <c r="G6" s="572"/>
      <c r="H6" s="572"/>
    </row>
    <row r="7" spans="2:8" x14ac:dyDescent="0.25">
      <c r="B7" s="572"/>
      <c r="C7" s="572"/>
      <c r="D7" s="572"/>
      <c r="E7" s="572"/>
      <c r="F7" s="572"/>
      <c r="G7" s="572"/>
      <c r="H7" s="572"/>
    </row>
    <row r="8" spans="2:8" x14ac:dyDescent="0.25">
      <c r="B8" s="572"/>
      <c r="C8" s="572"/>
      <c r="D8" s="572"/>
      <c r="E8" s="572"/>
      <c r="F8" s="572"/>
      <c r="G8" s="572"/>
      <c r="H8" s="572"/>
    </row>
    <row r="9" spans="2:8" x14ac:dyDescent="0.25">
      <c r="D9" s="458"/>
      <c r="F9" s="458"/>
    </row>
    <row r="10" spans="2:8" x14ac:dyDescent="0.25">
      <c r="E10" s="459" t="s">
        <v>378</v>
      </c>
    </row>
    <row r="11" spans="2:8" x14ac:dyDescent="0.25">
      <c r="E11" s="459" t="s">
        <v>373</v>
      </c>
    </row>
    <row r="12" spans="2:8" x14ac:dyDescent="0.25">
      <c r="E12" s="459" t="s">
        <v>374</v>
      </c>
    </row>
    <row r="13" spans="2:8" x14ac:dyDescent="0.25">
      <c r="C13" s="162"/>
      <c r="D13" s="162"/>
      <c r="E13" s="459" t="s">
        <v>375</v>
      </c>
      <c r="F13" s="162"/>
    </row>
    <row r="14" spans="2:8" x14ac:dyDescent="0.25">
      <c r="C14" s="162"/>
      <c r="D14" s="162"/>
      <c r="E14" s="459" t="s">
        <v>376</v>
      </c>
      <c r="F14" s="162"/>
    </row>
    <row r="15" spans="2:8" x14ac:dyDescent="0.25">
      <c r="C15" s="162"/>
      <c r="D15" s="162"/>
      <c r="E15" s="459" t="s">
        <v>377</v>
      </c>
      <c r="F15" s="162"/>
    </row>
    <row r="16" spans="2:8" x14ac:dyDescent="0.25">
      <c r="C16" s="162"/>
      <c r="D16" s="162"/>
      <c r="F16" s="162"/>
    </row>
    <row r="18" spans="3:7" x14ac:dyDescent="0.25">
      <c r="E18" s="568" t="s">
        <v>466</v>
      </c>
    </row>
    <row r="22" spans="3:7" ht="15.75" customHeight="1" x14ac:dyDescent="0.25">
      <c r="C22" s="573" t="s">
        <v>180</v>
      </c>
      <c r="D22" s="574"/>
      <c r="E22" s="574"/>
      <c r="F22" s="574"/>
      <c r="G22" s="574"/>
    </row>
    <row r="23" spans="3:7" x14ac:dyDescent="0.25">
      <c r="C23" s="574"/>
      <c r="D23" s="574"/>
      <c r="E23" s="574"/>
      <c r="F23" s="574"/>
      <c r="G23" s="574"/>
    </row>
    <row r="24" spans="3:7" x14ac:dyDescent="0.25">
      <c r="C24" s="574"/>
      <c r="D24" s="574"/>
      <c r="E24" s="574"/>
      <c r="F24" s="574"/>
      <c r="G24" s="574"/>
    </row>
    <row r="30" spans="3:7" x14ac:dyDescent="0.25">
      <c r="E30" t="s">
        <v>465</v>
      </c>
    </row>
    <row r="31" spans="3:7" x14ac:dyDescent="0.25">
      <c r="E31" s="241" t="s">
        <v>217</v>
      </c>
    </row>
    <row r="33" spans="2:8" ht="27.75" customHeight="1" x14ac:dyDescent="0.25">
      <c r="B33" s="574" t="s">
        <v>421</v>
      </c>
      <c r="C33" s="574"/>
      <c r="D33" s="574"/>
      <c r="E33" s="574"/>
      <c r="F33" s="574"/>
      <c r="G33" s="574"/>
      <c r="H33" s="574"/>
    </row>
    <row r="34" spans="2:8" ht="27.75" customHeight="1" x14ac:dyDescent="0.25">
      <c r="B34" s="574"/>
      <c r="C34" s="574"/>
      <c r="D34" s="574"/>
      <c r="E34" s="574"/>
      <c r="F34" s="574"/>
      <c r="G34" s="574"/>
      <c r="H34" s="574"/>
    </row>
    <row r="35" spans="2:8" ht="27.75" customHeight="1" x14ac:dyDescent="0.25">
      <c r="B35" s="574"/>
      <c r="C35" s="574"/>
      <c r="D35" s="574"/>
      <c r="E35" s="574"/>
      <c r="F35" s="574"/>
      <c r="G35" s="574"/>
      <c r="H35" s="574"/>
    </row>
  </sheetData>
  <sheetProtection password="C5B9" sheet="1" objects="1" scenarios="1"/>
  <mergeCells count="4">
    <mergeCell ref="B6:H8"/>
    <mergeCell ref="C22:G24"/>
    <mergeCell ref="B33:H35"/>
    <mergeCell ref="B2:H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C00000"/>
  </sheetPr>
  <dimension ref="A1:AE70"/>
  <sheetViews>
    <sheetView showGridLines="0" tabSelected="1" zoomScale="75" zoomScaleNormal="75" workbookViewId="0"/>
  </sheetViews>
  <sheetFormatPr defaultColWidth="9" defaultRowHeight="15.75" x14ac:dyDescent="0.25"/>
  <cols>
    <col min="1" max="1" width="10.125" style="167" bestFit="1" customWidth="1"/>
    <col min="2" max="2" width="9.875" style="167" customWidth="1"/>
    <col min="3" max="3" width="10.75" style="167" customWidth="1"/>
    <col min="4" max="4" width="20" style="167" customWidth="1"/>
    <col min="5" max="5" width="11.375" style="167" customWidth="1"/>
    <col min="6" max="6" width="10.75" style="167" customWidth="1"/>
    <col min="7" max="7" width="12.75" style="167" customWidth="1"/>
    <col min="8" max="8" width="10.125" style="167" customWidth="1"/>
    <col min="9" max="9" width="10.75" style="167" customWidth="1"/>
    <col min="10" max="10" width="9.875" style="167" customWidth="1"/>
    <col min="11" max="11" width="10" style="167" customWidth="1"/>
    <col min="12" max="12" width="8.75" style="167" customWidth="1"/>
    <col min="13" max="13" width="9.5" style="167" customWidth="1"/>
    <col min="14" max="14" width="3.5" style="167" customWidth="1"/>
    <col min="15" max="18" width="9" style="167"/>
    <col min="19" max="19" width="7.5" style="167" customWidth="1"/>
    <col min="20" max="25" width="9" style="167"/>
    <col min="26" max="26" width="10.5" style="167" customWidth="1"/>
    <col min="27" max="28" width="9" style="167"/>
    <col min="29" max="29" width="0" style="167" hidden="1" customWidth="1"/>
    <col min="30" max="30" width="9" style="167"/>
    <col min="31" max="31" width="9" style="167" customWidth="1"/>
    <col min="32" max="16384" width="9" style="167"/>
  </cols>
  <sheetData>
    <row r="1" spans="1:28" x14ac:dyDescent="0.25">
      <c r="A1" s="471"/>
      <c r="B1" s="471"/>
    </row>
    <row r="2" spans="1:28" ht="30.75" customHeight="1" x14ac:dyDescent="0.25">
      <c r="A2" s="471"/>
      <c r="B2" s="472" t="s">
        <v>3</v>
      </c>
      <c r="C2" s="580" t="s">
        <v>396</v>
      </c>
      <c r="D2" s="580"/>
      <c r="E2" s="580"/>
      <c r="F2" s="581"/>
      <c r="G2" s="168" t="s">
        <v>6</v>
      </c>
      <c r="H2" s="586" t="s">
        <v>393</v>
      </c>
      <c r="I2" s="586"/>
      <c r="J2" s="586"/>
      <c r="K2" s="587"/>
      <c r="L2" s="471"/>
      <c r="M2" s="471"/>
      <c r="N2" s="471"/>
      <c r="O2" s="471"/>
      <c r="P2" s="471"/>
      <c r="Q2" s="471"/>
      <c r="R2" s="471"/>
      <c r="S2" s="471"/>
      <c r="T2" s="471"/>
      <c r="U2" s="471"/>
      <c r="V2" s="471"/>
      <c r="W2" s="471"/>
      <c r="X2" s="471"/>
      <c r="Y2" s="471"/>
      <c r="Z2" s="471"/>
    </row>
    <row r="3" spans="1:28" ht="19.5" customHeight="1" x14ac:dyDescent="0.25">
      <c r="A3" s="471"/>
      <c r="B3" s="472" t="s">
        <v>379</v>
      </c>
      <c r="C3" s="580" t="s">
        <v>397</v>
      </c>
      <c r="D3" s="581"/>
      <c r="E3" s="169" t="s">
        <v>5</v>
      </c>
      <c r="F3" s="188"/>
      <c r="G3" s="170" t="s">
        <v>8</v>
      </c>
      <c r="H3" s="586" t="s">
        <v>395</v>
      </c>
      <c r="I3" s="586"/>
      <c r="J3" s="586"/>
      <c r="K3" s="587"/>
      <c r="L3" s="471"/>
      <c r="M3" s="471"/>
      <c r="N3" s="471"/>
      <c r="O3" s="471"/>
      <c r="P3" s="471"/>
      <c r="Q3" s="471"/>
      <c r="R3" s="471"/>
      <c r="S3" s="471"/>
      <c r="T3" s="471"/>
      <c r="U3" s="471"/>
      <c r="V3" s="471"/>
      <c r="W3" s="471"/>
      <c r="X3" s="471"/>
      <c r="Y3" s="471"/>
      <c r="Z3" s="471"/>
    </row>
    <row r="4" spans="1:28" ht="20.25" customHeight="1" x14ac:dyDescent="0.25">
      <c r="A4" s="471"/>
      <c r="B4" s="473" t="s">
        <v>4</v>
      </c>
      <c r="C4" s="582">
        <v>43348</v>
      </c>
      <c r="D4" s="583"/>
      <c r="E4" s="171" t="s">
        <v>4</v>
      </c>
      <c r="F4" s="189"/>
      <c r="G4" s="172" t="s">
        <v>7</v>
      </c>
      <c r="H4" s="588" t="s">
        <v>311</v>
      </c>
      <c r="I4" s="588"/>
      <c r="J4" s="588"/>
      <c r="K4" s="589"/>
      <c r="L4" s="471"/>
      <c r="M4" s="488"/>
      <c r="N4" s="489" t="s">
        <v>201</v>
      </c>
      <c r="O4" s="471"/>
      <c r="P4" s="490"/>
      <c r="Q4" s="489" t="s">
        <v>202</v>
      </c>
      <c r="R4" s="191"/>
      <c r="S4" s="491"/>
      <c r="T4" s="489" t="s">
        <v>205</v>
      </c>
      <c r="U4" s="191"/>
      <c r="V4" s="191"/>
      <c r="W4" s="191"/>
      <c r="X4" s="191"/>
      <c r="Y4" s="191"/>
      <c r="Z4" s="191"/>
    </row>
    <row r="5" spans="1:28" ht="20.25" customHeight="1" x14ac:dyDescent="0.25">
      <c r="A5" s="471"/>
      <c r="B5" s="173"/>
      <c r="C5" s="476"/>
      <c r="D5" s="476"/>
      <c r="E5" s="484"/>
      <c r="F5" s="476"/>
      <c r="G5" s="485"/>
      <c r="H5" s="486"/>
      <c r="I5" s="486"/>
      <c r="J5" s="486"/>
      <c r="K5" s="486"/>
      <c r="L5" s="471"/>
      <c r="M5" s="191"/>
      <c r="N5" s="191"/>
      <c r="O5" s="191"/>
      <c r="P5" s="492"/>
      <c r="Q5" s="191" t="s">
        <v>279</v>
      </c>
      <c r="R5" s="191"/>
      <c r="S5" s="493"/>
      <c r="T5" s="191" t="s">
        <v>280</v>
      </c>
      <c r="U5" s="191"/>
      <c r="V5" s="191"/>
      <c r="W5" s="191"/>
      <c r="X5" s="191"/>
      <c r="Y5" s="191"/>
      <c r="Z5" s="191"/>
    </row>
    <row r="6" spans="1:28" x14ac:dyDescent="0.25">
      <c r="A6" s="471"/>
      <c r="B6" s="173" t="s">
        <v>160</v>
      </c>
      <c r="C6" s="187">
        <v>2</v>
      </c>
      <c r="D6" s="549"/>
      <c r="E6" s="482" t="s">
        <v>191</v>
      </c>
      <c r="F6" s="471"/>
      <c r="G6" s="483" t="s">
        <v>305</v>
      </c>
      <c r="H6" s="401">
        <v>40.674579999999999</v>
      </c>
      <c r="I6" s="487" t="s">
        <v>306</v>
      </c>
      <c r="J6" s="401">
        <v>-111.91495</v>
      </c>
      <c r="K6" s="486"/>
      <c r="L6" s="471"/>
      <c r="M6" s="191"/>
      <c r="N6" s="215"/>
      <c r="O6" s="204" t="s">
        <v>19</v>
      </c>
      <c r="P6" s="204"/>
      <c r="Q6" s="204"/>
      <c r="R6" s="204" t="s">
        <v>350</v>
      </c>
      <c r="S6" s="204"/>
      <c r="T6" s="204"/>
      <c r="U6" s="204"/>
      <c r="V6" s="204"/>
      <c r="W6" s="204"/>
      <c r="X6" s="204"/>
      <c r="Y6" s="204"/>
      <c r="Z6" s="494"/>
      <c r="AA6" s="208"/>
      <c r="AB6" s="208"/>
    </row>
    <row r="7" spans="1:28" ht="18.75" x14ac:dyDescent="0.25">
      <c r="A7" s="471"/>
      <c r="B7" s="471"/>
      <c r="C7" s="471"/>
      <c r="D7" s="471"/>
      <c r="E7" s="471"/>
      <c r="F7" s="471"/>
      <c r="G7" s="221"/>
      <c r="H7" s="221"/>
      <c r="I7" s="221"/>
      <c r="J7" s="221"/>
      <c r="K7" s="179"/>
      <c r="L7" s="471"/>
      <c r="M7" s="191"/>
      <c r="N7" s="495"/>
      <c r="O7" s="192"/>
      <c r="P7" s="205"/>
      <c r="Q7" s="205"/>
      <c r="R7" s="205"/>
      <c r="S7" s="205"/>
      <c r="T7" s="216"/>
      <c r="U7" s="216"/>
      <c r="V7" s="216"/>
      <c r="W7" s="216"/>
      <c r="X7" s="205"/>
      <c r="Y7" s="206"/>
      <c r="Z7" s="211"/>
      <c r="AA7" s="206"/>
      <c r="AB7" s="208"/>
    </row>
    <row r="8" spans="1:28" x14ac:dyDescent="0.25">
      <c r="A8" s="474"/>
      <c r="B8" s="174" t="s">
        <v>14</v>
      </c>
      <c r="C8" s="474"/>
      <c r="D8" s="474"/>
      <c r="E8" s="474"/>
      <c r="F8" s="471"/>
      <c r="G8" s="184" t="s">
        <v>303</v>
      </c>
      <c r="H8" s="401">
        <v>2475</v>
      </c>
      <c r="I8" s="480" t="s">
        <v>304</v>
      </c>
      <c r="J8" s="221"/>
      <c r="K8" s="179"/>
      <c r="L8" s="474"/>
      <c r="M8" s="191"/>
      <c r="N8" s="495"/>
      <c r="O8" s="205"/>
      <c r="P8" s="205"/>
      <c r="Q8" s="205"/>
      <c r="R8" s="205"/>
      <c r="S8" s="205"/>
      <c r="T8" s="205"/>
      <c r="U8" s="205"/>
      <c r="V8" s="205"/>
      <c r="W8" s="205"/>
      <c r="X8" s="205"/>
      <c r="Y8" s="206"/>
      <c r="Z8" s="211"/>
      <c r="AA8" s="206"/>
      <c r="AB8" s="208"/>
    </row>
    <row r="9" spans="1:28" x14ac:dyDescent="0.25">
      <c r="A9" s="474"/>
      <c r="B9" s="475"/>
      <c r="C9" s="475"/>
      <c r="D9" s="475"/>
      <c r="E9" s="475"/>
      <c r="F9" s="475"/>
      <c r="G9" s="209" t="s">
        <v>302</v>
      </c>
      <c r="H9" s="176" t="str">
        <f>IF(H8=475,"10% in 50 yrs",IF(H8=1033,"7% in 75 yrs","2% in 50 yrs"))</f>
        <v>2% in 50 yrs</v>
      </c>
      <c r="I9" s="481"/>
      <c r="J9" s="479"/>
      <c r="K9" s="474"/>
      <c r="L9" s="474"/>
      <c r="M9" s="191"/>
      <c r="N9" s="495"/>
      <c r="O9" s="206"/>
      <c r="P9" s="205"/>
      <c r="Q9" s="390" t="s">
        <v>402</v>
      </c>
      <c r="R9" s="194" t="b">
        <v>1</v>
      </c>
      <c r="S9" s="206"/>
      <c r="T9" s="205"/>
      <c r="U9" s="205"/>
      <c r="V9" s="205"/>
      <c r="W9" s="206"/>
      <c r="X9" s="205"/>
      <c r="Y9" s="206"/>
      <c r="Z9" s="211"/>
      <c r="AA9" s="206"/>
      <c r="AB9" s="208"/>
    </row>
    <row r="10" spans="1:28" x14ac:dyDescent="0.25">
      <c r="A10" s="474"/>
      <c r="B10" s="264"/>
      <c r="C10" s="175"/>
      <c r="D10" s="175" t="s">
        <v>443</v>
      </c>
      <c r="E10" s="195">
        <v>5</v>
      </c>
      <c r="F10" s="176" t="str">
        <f>IF(units=1,"m","ft")</f>
        <v>ft</v>
      </c>
      <c r="G10" s="479"/>
      <c r="H10" s="264"/>
      <c r="I10" s="480"/>
      <c r="J10" s="480"/>
      <c r="K10" s="474"/>
      <c r="L10" s="474"/>
      <c r="M10" s="191"/>
      <c r="N10" s="495"/>
      <c r="O10" s="480"/>
      <c r="P10" s="480"/>
      <c r="Q10" s="209" t="s">
        <v>198</v>
      </c>
      <c r="R10" s="194" t="b">
        <v>1</v>
      </c>
      <c r="S10" s="205"/>
      <c r="T10" s="210"/>
      <c r="U10" s="471"/>
      <c r="V10" s="480"/>
      <c r="W10" s="205"/>
      <c r="X10" s="205"/>
      <c r="Y10" s="206"/>
      <c r="Z10" s="211"/>
      <c r="AA10" s="206"/>
      <c r="AB10" s="208"/>
    </row>
    <row r="11" spans="1:28" x14ac:dyDescent="0.25">
      <c r="A11" s="474"/>
      <c r="B11" s="475"/>
      <c r="C11" s="522"/>
      <c r="D11" s="522" t="s">
        <v>439</v>
      </c>
      <c r="E11" s="195">
        <v>0</v>
      </c>
      <c r="F11" s="475" t="str">
        <f>IF(units=1,"m","ft")</f>
        <v>ft</v>
      </c>
      <c r="G11" s="475" t="s">
        <v>464</v>
      </c>
      <c r="H11" s="475"/>
      <c r="I11" s="475"/>
      <c r="J11" s="475"/>
      <c r="K11" s="475"/>
      <c r="L11" s="474"/>
      <c r="M11" s="191"/>
      <c r="N11" s="495"/>
      <c r="O11" s="480"/>
      <c r="P11" s="480"/>
      <c r="Q11" s="209" t="s">
        <v>361</v>
      </c>
      <c r="R11" s="194" t="b">
        <v>1</v>
      </c>
      <c r="S11" s="480"/>
      <c r="T11" s="209"/>
      <c r="U11" s="471"/>
      <c r="V11" s="480"/>
      <c r="W11" s="480"/>
      <c r="X11" s="480"/>
      <c r="Y11" s="480"/>
      <c r="Z11" s="211"/>
      <c r="AA11" s="206"/>
      <c r="AB11" s="208"/>
    </row>
    <row r="12" spans="1:28" ht="28.5" customHeight="1" x14ac:dyDescent="0.25">
      <c r="A12" s="474"/>
      <c r="B12" s="177" t="str">
        <f>IF(units=1,"Depth (m)","Depth (ft)")</f>
        <v>Depth (ft)</v>
      </c>
      <c r="C12" s="178" t="s">
        <v>440</v>
      </c>
      <c r="D12" s="178" t="s">
        <v>225</v>
      </c>
      <c r="E12" s="178" t="str">
        <f>IF(units=1,"γ (kN/m^3)","γ (lb/ft^3)")</f>
        <v>γ (lb/ft^3)</v>
      </c>
      <c r="F12" s="178" t="s">
        <v>11</v>
      </c>
      <c r="G12" s="224" t="str">
        <f>IF(units=1,"Thickness (m)","Thickness (ft)")</f>
        <v>Thickness (ft)</v>
      </c>
      <c r="H12" s="178" t="s">
        <v>211</v>
      </c>
      <c r="I12" s="477" t="s">
        <v>226</v>
      </c>
      <c r="J12" s="478" t="s">
        <v>234</v>
      </c>
      <c r="K12" s="471"/>
      <c r="L12" s="471"/>
      <c r="M12" s="471"/>
      <c r="N12" s="495"/>
      <c r="O12" s="480"/>
      <c r="P12" s="206"/>
      <c r="Q12" s="206"/>
      <c r="R12" s="206"/>
      <c r="S12" s="206"/>
      <c r="T12" s="206"/>
      <c r="U12" s="205"/>
      <c r="V12" s="205"/>
      <c r="W12" s="205"/>
      <c r="X12" s="205"/>
      <c r="Y12" s="206"/>
      <c r="Z12" s="211"/>
      <c r="AA12" s="206"/>
      <c r="AB12" s="208"/>
    </row>
    <row r="13" spans="1:28" ht="15.75" customHeight="1" x14ac:dyDescent="0.25">
      <c r="A13" s="233" t="s">
        <v>163</v>
      </c>
      <c r="B13" s="236">
        <v>1.5</v>
      </c>
      <c r="C13" s="235">
        <v>20</v>
      </c>
      <c r="D13" s="235" t="s">
        <v>450</v>
      </c>
      <c r="E13" s="197">
        <v>124.3</v>
      </c>
      <c r="F13" s="197">
        <v>10</v>
      </c>
      <c r="G13" s="232">
        <v>3</v>
      </c>
      <c r="H13" s="232"/>
      <c r="I13" s="268" t="s">
        <v>398</v>
      </c>
      <c r="J13" s="268" t="s">
        <v>228</v>
      </c>
      <c r="K13" s="500"/>
      <c r="L13" s="264" t="s">
        <v>220</v>
      </c>
      <c r="M13" s="206"/>
      <c r="N13" s="495"/>
      <c r="O13" s="496"/>
      <c r="P13" s="471" t="s">
        <v>196</v>
      </c>
      <c r="Q13" s="465" t="b">
        <v>1</v>
      </c>
      <c r="R13" s="182" t="s">
        <v>404</v>
      </c>
      <c r="S13" s="465" t="b">
        <v>1</v>
      </c>
      <c r="T13" s="471"/>
      <c r="U13" s="479"/>
      <c r="V13" s="521" t="s">
        <v>106</v>
      </c>
      <c r="W13" s="584" t="s">
        <v>204</v>
      </c>
      <c r="X13" s="585"/>
      <c r="Y13" s="480"/>
      <c r="Z13" s="499"/>
      <c r="AA13" s="208"/>
      <c r="AB13" s="208"/>
    </row>
    <row r="14" spans="1:28" x14ac:dyDescent="0.25">
      <c r="A14" s="506"/>
      <c r="B14" s="236">
        <v>5.5</v>
      </c>
      <c r="C14" s="235">
        <v>14</v>
      </c>
      <c r="D14" s="235" t="s">
        <v>451</v>
      </c>
      <c r="E14" s="197">
        <v>124.3</v>
      </c>
      <c r="F14" s="197">
        <v>10</v>
      </c>
      <c r="G14" s="232">
        <v>5</v>
      </c>
      <c r="H14" s="232"/>
      <c r="I14" s="268" t="s">
        <v>248</v>
      </c>
      <c r="J14" s="268" t="s">
        <v>228</v>
      </c>
      <c r="K14" s="495"/>
      <c r="L14" s="195">
        <v>77</v>
      </c>
      <c r="M14" s="479"/>
      <c r="N14" s="495"/>
      <c r="O14" s="480"/>
      <c r="P14" s="206"/>
      <c r="Q14" s="206"/>
      <c r="R14" s="206"/>
      <c r="S14" s="206"/>
      <c r="T14" s="205"/>
      <c r="U14" s="205"/>
      <c r="V14" s="267"/>
      <c r="W14" s="585"/>
      <c r="X14" s="585"/>
      <c r="Y14" s="206"/>
      <c r="Z14" s="211"/>
      <c r="AA14" s="206"/>
      <c r="AB14" s="208"/>
    </row>
    <row r="15" spans="1:28" x14ac:dyDescent="0.25">
      <c r="A15" s="506"/>
      <c r="B15" s="236">
        <v>10.5</v>
      </c>
      <c r="C15" s="235">
        <v>12</v>
      </c>
      <c r="D15" s="235" t="s">
        <v>452</v>
      </c>
      <c r="E15" s="197">
        <v>124.3</v>
      </c>
      <c r="F15" s="197">
        <v>10</v>
      </c>
      <c r="G15" s="232">
        <v>5</v>
      </c>
      <c r="H15" s="232"/>
      <c r="I15" s="268" t="s">
        <v>248</v>
      </c>
      <c r="J15" s="268" t="s">
        <v>228</v>
      </c>
      <c r="K15" s="495"/>
      <c r="L15" s="480"/>
      <c r="M15" s="480"/>
      <c r="N15" s="495"/>
      <c r="O15" s="480"/>
      <c r="P15" s="206"/>
      <c r="Q15" s="206"/>
      <c r="R15" s="206"/>
      <c r="S15" s="206"/>
      <c r="T15" s="205"/>
      <c r="U15" s="205"/>
      <c r="V15" s="205"/>
      <c r="W15" s="205"/>
      <c r="X15" s="205"/>
      <c r="Y15" s="206"/>
      <c r="Z15" s="211"/>
      <c r="AA15" s="206"/>
      <c r="AB15" s="208"/>
    </row>
    <row r="16" spans="1:28" ht="16.5" x14ac:dyDescent="0.3">
      <c r="A16" s="506"/>
      <c r="B16" s="236">
        <v>15</v>
      </c>
      <c r="C16" s="235">
        <v>3</v>
      </c>
      <c r="D16" s="235" t="s">
        <v>453</v>
      </c>
      <c r="E16" s="197">
        <v>124.3</v>
      </c>
      <c r="F16" s="197">
        <v>60</v>
      </c>
      <c r="G16" s="232">
        <v>4</v>
      </c>
      <c r="H16" s="232"/>
      <c r="I16" s="268" t="s">
        <v>394</v>
      </c>
      <c r="J16" s="268" t="s">
        <v>229</v>
      </c>
      <c r="K16" s="495"/>
      <c r="L16" s="264" t="s">
        <v>221</v>
      </c>
      <c r="M16" s="480"/>
      <c r="N16" s="495"/>
      <c r="O16" s="480"/>
      <c r="P16" s="209" t="s">
        <v>206</v>
      </c>
      <c r="Q16" s="534" t="s">
        <v>209</v>
      </c>
      <c r="R16" s="471" t="s">
        <v>346</v>
      </c>
      <c r="S16" s="471"/>
      <c r="T16" s="206"/>
      <c r="U16" s="390" t="s">
        <v>298</v>
      </c>
      <c r="V16" s="308" t="b">
        <v>1</v>
      </c>
      <c r="W16" s="182" t="s">
        <v>299</v>
      </c>
      <c r="X16" s="308" t="b">
        <v>1</v>
      </c>
      <c r="Y16" s="206"/>
      <c r="Z16" s="211"/>
      <c r="AA16" s="206"/>
      <c r="AB16" s="208"/>
    </row>
    <row r="17" spans="1:28" ht="15.75" customHeight="1" x14ac:dyDescent="0.25">
      <c r="A17" s="506"/>
      <c r="B17" s="236">
        <v>20.5</v>
      </c>
      <c r="C17" s="235">
        <v>27</v>
      </c>
      <c r="D17" s="235" t="s">
        <v>448</v>
      </c>
      <c r="E17" s="197">
        <v>124.3</v>
      </c>
      <c r="F17" s="197">
        <v>10</v>
      </c>
      <c r="G17" s="232">
        <v>7</v>
      </c>
      <c r="H17" s="232"/>
      <c r="I17" s="268" t="s">
        <v>248</v>
      </c>
      <c r="J17" s="268" t="s">
        <v>228</v>
      </c>
      <c r="K17" s="495"/>
      <c r="L17" s="195">
        <v>4.25</v>
      </c>
      <c r="M17" s="265" t="str">
        <f>IF(units=1,"mm","in")</f>
        <v>in</v>
      </c>
      <c r="N17" s="495"/>
      <c r="O17" s="480"/>
      <c r="P17" s="480"/>
      <c r="Q17" s="206"/>
      <c r="R17" s="206" t="s">
        <v>347</v>
      </c>
      <c r="S17" s="206"/>
      <c r="T17" s="206"/>
      <c r="U17" s="206"/>
      <c r="V17" s="206"/>
      <c r="W17" s="206"/>
      <c r="X17" s="206"/>
      <c r="Y17" s="206"/>
      <c r="Z17" s="211"/>
      <c r="AA17" s="206"/>
      <c r="AB17" s="208"/>
    </row>
    <row r="18" spans="1:28" ht="15.75" customHeight="1" x14ac:dyDescent="0.25">
      <c r="A18" s="506"/>
      <c r="B18" s="236">
        <v>25.5</v>
      </c>
      <c r="C18" s="196">
        <v>22</v>
      </c>
      <c r="D18" s="196" t="s">
        <v>450</v>
      </c>
      <c r="E18" s="197">
        <v>124.3</v>
      </c>
      <c r="F18" s="197">
        <v>10</v>
      </c>
      <c r="G18" s="232">
        <v>3</v>
      </c>
      <c r="H18" s="232"/>
      <c r="I18" s="268" t="s">
        <v>248</v>
      </c>
      <c r="J18" s="268" t="s">
        <v>228</v>
      </c>
      <c r="K18" s="501"/>
      <c r="L18" s="503"/>
      <c r="M18" s="502"/>
      <c r="N18" s="495"/>
      <c r="O18" s="480"/>
      <c r="P18" s="206"/>
      <c r="Q18" s="206"/>
      <c r="R18" s="206"/>
      <c r="S18" s="206"/>
      <c r="T18" s="206"/>
      <c r="U18" s="206"/>
      <c r="V18" s="471"/>
      <c r="W18" s="471"/>
      <c r="X18" s="471"/>
      <c r="Y18" s="471"/>
      <c r="Z18" s="499"/>
      <c r="AA18" s="206"/>
      <c r="AB18" s="206"/>
    </row>
    <row r="19" spans="1:28" ht="15.75" customHeight="1" x14ac:dyDescent="0.25">
      <c r="A19" s="506"/>
      <c r="B19" s="236">
        <v>30.5</v>
      </c>
      <c r="C19" s="196">
        <v>16</v>
      </c>
      <c r="D19" s="196" t="s">
        <v>450</v>
      </c>
      <c r="E19" s="197">
        <v>124.3</v>
      </c>
      <c r="F19" s="197">
        <v>10</v>
      </c>
      <c r="G19" s="232">
        <v>7</v>
      </c>
      <c r="H19" s="232"/>
      <c r="I19" s="268" t="s">
        <v>248</v>
      </c>
      <c r="J19" s="268" t="s">
        <v>228</v>
      </c>
      <c r="K19" s="495"/>
      <c r="L19" s="266" t="s">
        <v>222</v>
      </c>
      <c r="M19" s="480"/>
      <c r="N19" s="495"/>
      <c r="O19" s="480"/>
      <c r="P19" s="206"/>
      <c r="Q19" s="206"/>
      <c r="R19" s="206"/>
      <c r="S19" s="206"/>
      <c r="T19" s="206"/>
      <c r="U19" s="390"/>
      <c r="V19" s="471"/>
      <c r="W19" s="471"/>
      <c r="X19" s="471"/>
      <c r="Y19" s="471"/>
      <c r="Z19" s="499"/>
      <c r="AA19" s="206"/>
      <c r="AB19" s="206"/>
    </row>
    <row r="20" spans="1:28" x14ac:dyDescent="0.25">
      <c r="A20" s="506"/>
      <c r="B20" s="232">
        <v>35.5</v>
      </c>
      <c r="C20" s="196">
        <v>13</v>
      </c>
      <c r="D20" s="196" t="s">
        <v>448</v>
      </c>
      <c r="E20" s="197">
        <v>124.3</v>
      </c>
      <c r="F20" s="197">
        <v>10</v>
      </c>
      <c r="G20" s="232">
        <v>3</v>
      </c>
      <c r="H20" s="232"/>
      <c r="I20" s="268" t="s">
        <v>248</v>
      </c>
      <c r="J20" s="268" t="s">
        <v>228</v>
      </c>
      <c r="K20" s="495"/>
      <c r="L20" s="201">
        <v>5</v>
      </c>
      <c r="M20" s="265" t="str">
        <f>IF(units=1,"m","ft")</f>
        <v>ft</v>
      </c>
      <c r="N20" s="495"/>
      <c r="O20" s="480"/>
      <c r="P20" s="206"/>
      <c r="Q20" s="206"/>
      <c r="R20" s="206"/>
      <c r="S20" s="206"/>
      <c r="T20" s="206"/>
      <c r="U20" s="206"/>
      <c r="V20" s="206"/>
      <c r="W20" s="206"/>
      <c r="X20" s="206"/>
      <c r="Y20" s="206"/>
      <c r="Z20" s="499"/>
      <c r="AA20" s="206"/>
      <c r="AB20" s="206"/>
    </row>
    <row r="21" spans="1:28" x14ac:dyDescent="0.25">
      <c r="A21" s="499"/>
      <c r="B21" s="232">
        <v>41</v>
      </c>
      <c r="C21" s="196">
        <v>3</v>
      </c>
      <c r="D21" s="196" t="s">
        <v>448</v>
      </c>
      <c r="E21" s="197">
        <v>124.3</v>
      </c>
      <c r="F21" s="197">
        <v>70</v>
      </c>
      <c r="G21" s="232">
        <v>8</v>
      </c>
      <c r="H21" s="232"/>
      <c r="I21" s="268" t="s">
        <v>394</v>
      </c>
      <c r="J21" s="268" t="s">
        <v>229</v>
      </c>
      <c r="K21" s="501"/>
      <c r="L21" s="504"/>
      <c r="M21" s="502"/>
      <c r="N21" s="495"/>
      <c r="O21" s="480"/>
      <c r="P21" s="480"/>
      <c r="Q21" s="212" t="s">
        <v>402</v>
      </c>
      <c r="R21" s="194" t="b">
        <v>1</v>
      </c>
      <c r="S21" s="206"/>
      <c r="T21" s="206"/>
      <c r="U21" s="206"/>
      <c r="V21" s="206"/>
      <c r="W21" s="206"/>
      <c r="X21" s="206"/>
      <c r="Y21" s="206"/>
      <c r="Z21" s="499"/>
      <c r="AA21" s="206"/>
      <c r="AB21" s="206"/>
    </row>
    <row r="22" spans="1:28" ht="15.75" customHeight="1" x14ac:dyDescent="0.25">
      <c r="A22" s="499"/>
      <c r="B22" s="232">
        <v>45</v>
      </c>
      <c r="C22" s="196">
        <v>3</v>
      </c>
      <c r="D22" s="196" t="s">
        <v>448</v>
      </c>
      <c r="E22" s="197">
        <v>124.3</v>
      </c>
      <c r="F22" s="197">
        <v>5</v>
      </c>
      <c r="G22" s="232">
        <v>3</v>
      </c>
      <c r="H22" s="232"/>
      <c r="I22" s="268" t="s">
        <v>248</v>
      </c>
      <c r="J22" s="268" t="s">
        <v>228</v>
      </c>
      <c r="K22" s="495"/>
      <c r="L22" s="480" t="s">
        <v>458</v>
      </c>
      <c r="M22" s="480"/>
      <c r="N22" s="495"/>
      <c r="O22" s="480"/>
      <c r="P22" s="480"/>
      <c r="Q22" s="212" t="s">
        <v>198</v>
      </c>
      <c r="R22" s="194" t="b">
        <v>1</v>
      </c>
      <c r="S22" s="206"/>
      <c r="T22" s="206"/>
      <c r="U22" s="206"/>
      <c r="V22" s="206"/>
      <c r="W22" s="206"/>
      <c r="X22" s="206"/>
      <c r="Y22" s="206"/>
      <c r="Z22" s="499"/>
      <c r="AA22" s="206"/>
      <c r="AB22" s="206"/>
    </row>
    <row r="23" spans="1:28" x14ac:dyDescent="0.25">
      <c r="A23" s="499"/>
      <c r="B23" s="232">
        <v>51.5</v>
      </c>
      <c r="C23" s="196">
        <v>18</v>
      </c>
      <c r="D23" s="196" t="s">
        <v>448</v>
      </c>
      <c r="E23" s="197">
        <v>124.3</v>
      </c>
      <c r="F23" s="197">
        <v>5</v>
      </c>
      <c r="G23" s="232">
        <v>7</v>
      </c>
      <c r="H23" s="232"/>
      <c r="I23" s="268" t="s">
        <v>248</v>
      </c>
      <c r="J23" s="268" t="s">
        <v>228</v>
      </c>
      <c r="K23" s="505"/>
      <c r="L23" s="534" t="s">
        <v>216</v>
      </c>
      <c r="M23" s="206"/>
      <c r="N23" s="495"/>
      <c r="O23" s="480"/>
      <c r="P23" s="480"/>
      <c r="Q23" s="212" t="s">
        <v>361</v>
      </c>
      <c r="R23" s="194" t="b">
        <v>1</v>
      </c>
      <c r="S23" s="206"/>
      <c r="T23" s="206"/>
      <c r="U23" s="206"/>
      <c r="V23" s="206"/>
      <c r="W23" s="206"/>
      <c r="X23" s="206"/>
      <c r="Y23" s="206"/>
      <c r="Z23" s="499"/>
      <c r="AA23" s="206"/>
      <c r="AB23" s="206"/>
    </row>
    <row r="24" spans="1:28" ht="15.75" customHeight="1" x14ac:dyDescent="0.25">
      <c r="A24" s="499"/>
      <c r="B24" s="232">
        <v>57</v>
      </c>
      <c r="C24" s="196">
        <v>5</v>
      </c>
      <c r="D24" s="196" t="s">
        <v>448</v>
      </c>
      <c r="E24" s="197">
        <v>124.3</v>
      </c>
      <c r="F24" s="197">
        <v>5</v>
      </c>
      <c r="G24" s="232">
        <v>4</v>
      </c>
      <c r="H24" s="232"/>
      <c r="I24" s="268" t="s">
        <v>248</v>
      </c>
      <c r="J24" s="268" t="s">
        <v>228</v>
      </c>
      <c r="K24" s="576" t="s">
        <v>447</v>
      </c>
      <c r="L24" s="577"/>
      <c r="M24" s="578"/>
      <c r="N24" s="495"/>
      <c r="O24" s="480"/>
      <c r="P24" s="480"/>
      <c r="Q24" s="212"/>
      <c r="R24" s="471"/>
      <c r="S24" s="206"/>
      <c r="T24" s="206"/>
      <c r="U24" s="206"/>
      <c r="V24" s="206"/>
      <c r="W24" s="206"/>
      <c r="X24" s="206"/>
      <c r="Y24" s="206"/>
      <c r="Z24" s="499"/>
      <c r="AA24" s="206"/>
      <c r="AB24" s="206"/>
    </row>
    <row r="25" spans="1:28" x14ac:dyDescent="0.25">
      <c r="A25" s="499"/>
      <c r="B25" s="232"/>
      <c r="C25" s="196"/>
      <c r="D25" s="196"/>
      <c r="E25" s="197"/>
      <c r="F25" s="197"/>
      <c r="G25" s="232"/>
      <c r="H25" s="232"/>
      <c r="I25" s="268"/>
      <c r="J25" s="268"/>
      <c r="K25" s="576"/>
      <c r="L25" s="577"/>
      <c r="M25" s="578"/>
      <c r="N25" s="495"/>
      <c r="O25" s="531"/>
      <c r="P25" s="206"/>
      <c r="Q25" s="206"/>
      <c r="R25" s="206"/>
      <c r="S25" s="206"/>
      <c r="T25" s="206"/>
      <c r="U25" s="206"/>
      <c r="V25" s="206"/>
      <c r="W25" s="206"/>
      <c r="X25" s="206"/>
      <c r="Y25" s="206"/>
      <c r="Z25" s="211"/>
      <c r="AA25" s="206"/>
      <c r="AB25" s="206"/>
    </row>
    <row r="26" spans="1:28" x14ac:dyDescent="0.25">
      <c r="A26" s="499"/>
      <c r="B26" s="232"/>
      <c r="C26" s="196"/>
      <c r="D26" s="196"/>
      <c r="E26" s="197"/>
      <c r="F26" s="197"/>
      <c r="G26" s="232"/>
      <c r="H26" s="232"/>
      <c r="I26" s="268"/>
      <c r="J26" s="268"/>
      <c r="K26" s="495"/>
      <c r="L26" s="526" t="s">
        <v>449</v>
      </c>
      <c r="M26" s="480"/>
      <c r="N26" s="495"/>
      <c r="O26" s="480"/>
      <c r="P26" s="529"/>
      <c r="Q26"/>
      <c r="R26"/>
      <c r="S26" s="206"/>
      <c r="T26" s="206"/>
      <c r="U26" s="206"/>
      <c r="V26" s="206"/>
      <c r="W26" s="206"/>
      <c r="X26" s="206"/>
      <c r="Y26" s="206"/>
      <c r="Z26" s="211"/>
      <c r="AA26" s="206"/>
      <c r="AB26" s="206"/>
    </row>
    <row r="27" spans="1:28" x14ac:dyDescent="0.25">
      <c r="A27" s="499"/>
      <c r="B27" s="232"/>
      <c r="C27" s="196"/>
      <c r="D27" s="196"/>
      <c r="E27" s="197"/>
      <c r="F27" s="197"/>
      <c r="G27" s="232"/>
      <c r="H27" s="232"/>
      <c r="I27" s="268"/>
      <c r="J27" s="268"/>
      <c r="K27" s="495"/>
      <c r="L27" s="201">
        <v>0.55000000000000004</v>
      </c>
      <c r="M27" s="527"/>
      <c r="N27" s="495"/>
      <c r="O27" s="480"/>
      <c r="P27" s="528"/>
      <c r="Q27"/>
      <c r="R27"/>
      <c r="S27" s="206"/>
      <c r="T27" s="206"/>
      <c r="U27" s="206"/>
      <c r="V27" s="206"/>
      <c r="W27" s="206"/>
      <c r="X27" s="206"/>
      <c r="Y27" s="206"/>
      <c r="Z27" s="211"/>
      <c r="AA27" s="206"/>
      <c r="AB27" s="206"/>
    </row>
    <row r="28" spans="1:28" x14ac:dyDescent="0.25">
      <c r="A28" s="207"/>
      <c r="B28" s="232"/>
      <c r="C28" s="196"/>
      <c r="D28" s="196"/>
      <c r="E28" s="197"/>
      <c r="F28" s="197"/>
      <c r="G28" s="232"/>
      <c r="H28" s="232"/>
      <c r="I28" s="268"/>
      <c r="J28" s="268"/>
      <c r="K28" s="505"/>
      <c r="L28" s="526"/>
      <c r="M28" s="206"/>
      <c r="N28" s="497"/>
      <c r="O28" s="498"/>
      <c r="P28" s="530"/>
      <c r="Q28" s="536"/>
      <c r="R28" s="536"/>
      <c r="S28" s="213"/>
      <c r="T28" s="213"/>
      <c r="U28" s="213"/>
      <c r="V28" s="213"/>
      <c r="W28" s="213"/>
      <c r="X28" s="213"/>
      <c r="Y28" s="213"/>
      <c r="Z28" s="214"/>
      <c r="AA28" s="206"/>
      <c r="AB28" s="206"/>
    </row>
    <row r="29" spans="1:28" x14ac:dyDescent="0.25">
      <c r="A29" s="207"/>
      <c r="B29" s="232"/>
      <c r="C29" s="196"/>
      <c r="D29" s="196"/>
      <c r="E29" s="197"/>
      <c r="F29" s="197"/>
      <c r="G29" s="232"/>
      <c r="H29" s="232"/>
      <c r="I29" s="268"/>
      <c r="J29" s="268"/>
      <c r="K29" s="505"/>
      <c r="L29"/>
      <c r="M29" s="524"/>
      <c r="N29" s="471"/>
      <c r="O29" s="507"/>
      <c r="P29" s="193"/>
      <c r="Q29" s="193"/>
      <c r="R29" s="191"/>
      <c r="S29" s="191"/>
      <c r="T29" s="191"/>
      <c r="U29" s="191"/>
      <c r="V29" s="191"/>
      <c r="W29" s="191"/>
      <c r="X29" s="191"/>
      <c r="Y29" s="191"/>
      <c r="Z29" s="191"/>
      <c r="AA29" s="191"/>
      <c r="AB29" s="191"/>
    </row>
    <row r="30" spans="1:28" x14ac:dyDescent="0.25">
      <c r="A30" s="207"/>
      <c r="B30" s="232"/>
      <c r="C30" s="196"/>
      <c r="D30" s="196"/>
      <c r="E30" s="197"/>
      <c r="F30" s="197"/>
      <c r="G30" s="232"/>
      <c r="H30" s="232"/>
      <c r="I30" s="268"/>
      <c r="J30" s="268"/>
      <c r="K30" s="505"/>
      <c r="L30" s="480"/>
      <c r="M30" s="206"/>
      <c r="N30" s="471"/>
      <c r="O30" s="471"/>
      <c r="P30" s="471"/>
      <c r="Q30" s="471"/>
      <c r="R30" s="471"/>
      <c r="S30" s="471"/>
      <c r="T30" s="471"/>
      <c r="U30" s="471"/>
      <c r="V30" s="471"/>
      <c r="W30" s="471"/>
      <c r="X30" s="471"/>
      <c r="Y30" s="471"/>
      <c r="Z30" s="471"/>
      <c r="AA30" s="471"/>
    </row>
    <row r="31" spans="1:28" x14ac:dyDescent="0.25">
      <c r="A31" s="207"/>
      <c r="B31" s="232"/>
      <c r="C31" s="196"/>
      <c r="D31" s="196"/>
      <c r="E31" s="197"/>
      <c r="F31" s="197"/>
      <c r="G31" s="232"/>
      <c r="H31" s="232"/>
      <c r="I31" s="268"/>
      <c r="J31" s="268"/>
      <c r="K31" s="505"/>
      <c r="L31" s="480"/>
      <c r="M31" s="206"/>
      <c r="N31" s="191"/>
      <c r="O31" s="191"/>
      <c r="P31" s="191"/>
      <c r="Q31" s="191"/>
      <c r="R31" s="191"/>
      <c r="S31" s="191"/>
      <c r="T31" s="191"/>
      <c r="U31" s="191"/>
      <c r="V31" s="191"/>
      <c r="W31" s="191"/>
      <c r="X31" s="191"/>
      <c r="Y31" s="191"/>
      <c r="Z31" s="191"/>
      <c r="AA31" s="471"/>
    </row>
    <row r="32" spans="1:28" x14ac:dyDescent="0.25">
      <c r="A32" s="207"/>
      <c r="B32" s="232"/>
      <c r="C32" s="196"/>
      <c r="D32" s="196"/>
      <c r="E32" s="197"/>
      <c r="F32" s="197"/>
      <c r="G32" s="232"/>
      <c r="H32" s="197"/>
      <c r="I32" s="268"/>
      <c r="J32" s="268"/>
      <c r="K32" s="505"/>
      <c r="L32" s="480"/>
      <c r="M32" s="206"/>
      <c r="N32" s="191"/>
      <c r="O32" s="191"/>
      <c r="P32" s="191"/>
      <c r="Q32" s="191"/>
      <c r="R32" s="191"/>
      <c r="S32" s="191"/>
      <c r="T32" s="191"/>
      <c r="U32" s="191"/>
      <c r="V32" s="191"/>
      <c r="W32" s="191"/>
      <c r="X32" s="191"/>
      <c r="Y32" s="191"/>
      <c r="Z32" s="191"/>
      <c r="AA32" s="471"/>
    </row>
    <row r="33" spans="1:29" x14ac:dyDescent="0.25">
      <c r="A33" s="471"/>
      <c r="B33" s="234"/>
      <c r="C33" s="231"/>
      <c r="D33" s="231"/>
      <c r="E33" s="231"/>
      <c r="F33" s="231"/>
      <c r="G33" s="231"/>
      <c r="H33" s="509"/>
      <c r="I33" s="509"/>
      <c r="J33" s="509"/>
      <c r="K33" s="508"/>
      <c r="L33" s="471"/>
      <c r="M33" s="191"/>
      <c r="N33" s="191"/>
      <c r="O33" s="191"/>
      <c r="P33" s="191"/>
      <c r="Q33" s="191"/>
      <c r="R33" s="191"/>
      <c r="S33" s="191"/>
      <c r="T33" s="191"/>
      <c r="U33" s="191"/>
      <c r="V33" s="191"/>
      <c r="W33" s="191"/>
      <c r="X33" s="191"/>
      <c r="Y33" s="191"/>
      <c r="Z33" s="191"/>
      <c r="AA33" s="471"/>
    </row>
    <row r="34" spans="1:29" ht="15.75" customHeight="1" x14ac:dyDescent="0.25">
      <c r="A34" s="471"/>
      <c r="B34" s="185" t="s">
        <v>454</v>
      </c>
      <c r="C34" s="552"/>
      <c r="D34" s="552"/>
      <c r="E34" s="552"/>
      <c r="F34" s="185" t="s">
        <v>200</v>
      </c>
      <c r="G34" s="180"/>
      <c r="H34" s="180"/>
      <c r="I34" s="180"/>
      <c r="J34" s="185" t="s">
        <v>359</v>
      </c>
      <c r="K34" s="180"/>
      <c r="L34" s="179"/>
      <c r="M34" s="193"/>
      <c r="N34" s="193"/>
      <c r="O34" s="191"/>
      <c r="P34" s="191"/>
      <c r="Q34" s="191"/>
      <c r="R34" s="191"/>
      <c r="S34" s="191"/>
      <c r="T34" s="191"/>
      <c r="U34" s="191"/>
      <c r="V34" s="191"/>
      <c r="W34" s="191"/>
      <c r="X34" s="191"/>
      <c r="Y34" s="191"/>
      <c r="Z34" s="191"/>
      <c r="AA34" s="471"/>
    </row>
    <row r="35" spans="1:29" ht="20.25" customHeight="1" x14ac:dyDescent="0.25">
      <c r="A35" s="471"/>
      <c r="B35" s="552"/>
      <c r="C35" s="552"/>
      <c r="D35" s="552"/>
      <c r="E35" s="552"/>
      <c r="F35" s="180"/>
      <c r="G35" s="180"/>
      <c r="H35" s="180"/>
      <c r="I35" s="180"/>
      <c r="J35" s="180"/>
      <c r="K35" s="180"/>
      <c r="L35" s="179"/>
      <c r="M35" s="193"/>
      <c r="N35" s="193"/>
      <c r="O35" s="191"/>
      <c r="P35" s="191"/>
      <c r="Q35" s="191"/>
      <c r="R35" s="191"/>
      <c r="S35" s="191"/>
      <c r="T35" s="191"/>
      <c r="U35" s="191"/>
      <c r="V35" s="191"/>
      <c r="W35" s="191"/>
      <c r="X35" s="191"/>
      <c r="Y35" s="191"/>
      <c r="Z35" s="191"/>
      <c r="AA35" s="471"/>
    </row>
    <row r="36" spans="1:29" ht="16.5" x14ac:dyDescent="0.3">
      <c r="A36" s="471"/>
      <c r="B36" s="181" t="s">
        <v>15</v>
      </c>
      <c r="C36" s="198">
        <v>0.44</v>
      </c>
      <c r="D36" s="538"/>
      <c r="E36" s="539"/>
      <c r="F36" s="540" t="s">
        <v>99</v>
      </c>
      <c r="G36" s="202">
        <v>1.5</v>
      </c>
      <c r="H36" s="221" t="s">
        <v>24</v>
      </c>
      <c r="I36" s="179"/>
      <c r="J36" s="179" t="s">
        <v>331</v>
      </c>
      <c r="K36" s="463">
        <v>0.2</v>
      </c>
      <c r="L36" s="179"/>
      <c r="M36" s="193"/>
      <c r="N36" s="193"/>
      <c r="O36" s="191"/>
      <c r="P36" s="191"/>
      <c r="Q36" s="191"/>
      <c r="R36" s="191"/>
      <c r="S36" s="191"/>
      <c r="T36" s="191"/>
      <c r="U36" s="191"/>
      <c r="V36" s="191"/>
      <c r="W36" s="191"/>
      <c r="X36" s="191"/>
      <c r="Y36" s="191"/>
      <c r="Z36" s="191"/>
      <c r="AA36" s="471"/>
      <c r="AC36" s="167" t="s">
        <v>84</v>
      </c>
    </row>
    <row r="37" spans="1:29" ht="18.75" x14ac:dyDescent="0.35">
      <c r="A37" s="471"/>
      <c r="B37" s="182" t="s">
        <v>159</v>
      </c>
      <c r="C37" s="219">
        <v>1.06</v>
      </c>
      <c r="D37" s="541"/>
      <c r="E37" s="542"/>
      <c r="F37" s="540" t="s">
        <v>101</v>
      </c>
      <c r="G37" s="202">
        <v>16</v>
      </c>
      <c r="H37" s="221" t="s">
        <v>24</v>
      </c>
      <c r="I37" s="510"/>
      <c r="J37" s="510"/>
      <c r="K37" s="512"/>
      <c r="L37" s="510"/>
      <c r="M37" s="510">
        <v>1</v>
      </c>
      <c r="N37" s="510">
        <v>15</v>
      </c>
      <c r="O37" s="513"/>
      <c r="P37" s="191"/>
      <c r="Q37" s="191"/>
      <c r="R37" s="191"/>
      <c r="S37" s="191"/>
      <c r="T37" s="191"/>
      <c r="U37" s="191"/>
      <c r="V37" s="191"/>
      <c r="W37" s="191"/>
      <c r="X37" s="191"/>
      <c r="Y37" s="190"/>
      <c r="Z37" s="190"/>
      <c r="AC37" s="167" t="s">
        <v>85</v>
      </c>
    </row>
    <row r="38" spans="1:29" ht="16.5" x14ac:dyDescent="0.3">
      <c r="A38" s="471"/>
      <c r="B38" s="181" t="s">
        <v>93</v>
      </c>
      <c r="C38" s="199">
        <v>6.77</v>
      </c>
      <c r="D38" s="543"/>
      <c r="E38" s="539"/>
      <c r="F38" s="540" t="s">
        <v>131</v>
      </c>
      <c r="G38" s="202">
        <v>10</v>
      </c>
      <c r="H38" s="221" t="str">
        <f>IF(units=1,"m","ft")</f>
        <v>ft</v>
      </c>
      <c r="I38" s="511">
        <f>IF(H38="m",M37,M38)</f>
        <v>3.2808398950131235</v>
      </c>
      <c r="J38" s="511">
        <f>IF(H38="m",N37,N38)</f>
        <v>49.212598425196852</v>
      </c>
      <c r="K38" s="512"/>
      <c r="L38" s="510"/>
      <c r="M38" s="510">
        <f>CONVERT(M37,"m","ft")</f>
        <v>3.2808398950131235</v>
      </c>
      <c r="N38" s="510">
        <f t="shared" ref="N38" si="0">CONVERT(N37,"m","ft")</f>
        <v>49.212598425196852</v>
      </c>
      <c r="O38" s="513"/>
      <c r="P38" s="191"/>
      <c r="Q38" s="191"/>
      <c r="R38" s="191"/>
      <c r="S38" s="191"/>
      <c r="T38" s="191"/>
      <c r="U38" s="191"/>
      <c r="V38" s="191"/>
      <c r="W38" s="191"/>
      <c r="X38" s="191"/>
      <c r="Y38" s="190"/>
      <c r="Z38" s="190"/>
      <c r="AC38" s="167" t="s">
        <v>86</v>
      </c>
    </row>
    <row r="39" spans="1:29" ht="16.5" x14ac:dyDescent="0.3">
      <c r="A39" s="471"/>
      <c r="B39" s="181" t="s">
        <v>64</v>
      </c>
      <c r="C39" s="199">
        <v>623</v>
      </c>
      <c r="D39" s="560" t="str">
        <f>IF(units=1,"m/s","ft/s")</f>
        <v>ft/s</v>
      </c>
      <c r="E39" s="539"/>
      <c r="F39" s="540" t="s">
        <v>132</v>
      </c>
      <c r="G39" s="202">
        <v>11</v>
      </c>
      <c r="H39" s="221" t="s">
        <v>24</v>
      </c>
      <c r="I39" s="511"/>
      <c r="J39" s="511"/>
      <c r="K39" s="512"/>
      <c r="L39" s="510"/>
      <c r="M39" s="510"/>
      <c r="N39" s="510"/>
      <c r="O39" s="513"/>
      <c r="P39" s="191"/>
      <c r="Q39" s="191"/>
      <c r="R39" s="191"/>
      <c r="S39" s="191"/>
      <c r="T39" s="191"/>
      <c r="U39" s="191"/>
      <c r="V39" s="191"/>
      <c r="W39" s="191"/>
      <c r="X39" s="191"/>
      <c r="Y39" s="190"/>
      <c r="Z39" s="190"/>
      <c r="AC39" s="167" t="s">
        <v>87</v>
      </c>
    </row>
    <row r="40" spans="1:29" ht="16.5" x14ac:dyDescent="0.3">
      <c r="A40" s="471"/>
      <c r="B40" s="183" t="s">
        <v>137</v>
      </c>
      <c r="C40" s="200" t="s">
        <v>87</v>
      </c>
      <c r="D40" s="544"/>
      <c r="E40" s="545"/>
      <c r="F40" s="540" t="s">
        <v>188</v>
      </c>
      <c r="G40" s="202">
        <v>5</v>
      </c>
      <c r="H40" s="221" t="s">
        <v>76</v>
      </c>
      <c r="I40" s="511"/>
      <c r="J40" s="511"/>
      <c r="K40" s="512"/>
      <c r="L40" s="510"/>
      <c r="M40" s="510"/>
      <c r="N40" s="510"/>
      <c r="O40" s="513"/>
      <c r="P40" s="191"/>
      <c r="Q40" s="191"/>
      <c r="R40" s="191"/>
      <c r="S40" s="191"/>
      <c r="T40" s="191"/>
      <c r="U40" s="191"/>
      <c r="V40" s="191"/>
      <c r="W40" s="191"/>
      <c r="X40" s="191"/>
      <c r="Y40" s="190"/>
      <c r="Z40" s="190"/>
      <c r="AC40" s="167" t="s">
        <v>88</v>
      </c>
    </row>
    <row r="41" spans="1:29" x14ac:dyDescent="0.25">
      <c r="A41" s="471"/>
      <c r="B41" s="179"/>
      <c r="C41" s="179"/>
      <c r="D41" s="545"/>
      <c r="E41" s="545"/>
      <c r="F41" s="545"/>
      <c r="G41" s="179"/>
      <c r="H41" s="180"/>
      <c r="I41" s="180"/>
      <c r="J41" s="180"/>
      <c r="K41" s="514"/>
      <c r="L41" s="179"/>
      <c r="M41" s="193"/>
      <c r="N41" s="193"/>
      <c r="O41" s="191"/>
      <c r="P41" s="191"/>
      <c r="Q41" s="191"/>
      <c r="R41" s="191"/>
      <c r="S41" s="191"/>
      <c r="T41" s="191"/>
      <c r="U41" s="191"/>
      <c r="V41" s="191"/>
      <c r="W41" s="191"/>
      <c r="X41" s="191"/>
      <c r="Y41" s="190"/>
      <c r="Z41" s="190"/>
      <c r="AC41" s="167" t="s">
        <v>89</v>
      </c>
    </row>
    <row r="42" spans="1:29" ht="15.75" customHeight="1" x14ac:dyDescent="0.25">
      <c r="A42" s="471"/>
      <c r="B42" s="471"/>
      <c r="C42" s="220">
        <v>1</v>
      </c>
      <c r="D42" s="559" t="s">
        <v>455</v>
      </c>
      <c r="E42" s="553"/>
      <c r="F42" s="553"/>
      <c r="G42" s="537"/>
      <c r="H42" s="537"/>
      <c r="I42" s="471"/>
      <c r="J42" s="471"/>
      <c r="K42" s="515"/>
      <c r="L42" s="179"/>
      <c r="M42" s="193"/>
      <c r="N42" s="193"/>
      <c r="O42" s="191"/>
      <c r="P42" s="191"/>
      <c r="Q42" s="191"/>
      <c r="R42" s="191"/>
      <c r="S42" s="191"/>
      <c r="T42" s="191"/>
      <c r="U42" s="191"/>
      <c r="V42" s="191"/>
      <c r="W42" s="191"/>
      <c r="X42" s="191"/>
      <c r="Y42" s="191"/>
      <c r="Z42" s="191"/>
    </row>
    <row r="43" spans="1:29" ht="16.5" x14ac:dyDescent="0.25">
      <c r="A43" s="471"/>
      <c r="B43" s="471"/>
      <c r="C43" s="516"/>
      <c r="D43" s="559" t="s">
        <v>456</v>
      </c>
      <c r="E43" s="553"/>
      <c r="F43" s="553"/>
      <c r="G43" s="537"/>
      <c r="H43" s="537"/>
      <c r="I43" s="471"/>
      <c r="J43" s="471"/>
      <c r="K43" s="515"/>
      <c r="L43" s="179"/>
      <c r="M43" s="193"/>
      <c r="N43" s="193"/>
      <c r="O43" s="191"/>
      <c r="P43" s="191"/>
      <c r="Q43" s="191"/>
      <c r="R43" s="191"/>
      <c r="S43" s="191"/>
      <c r="T43" s="191"/>
      <c r="U43" s="191"/>
      <c r="V43" s="191"/>
      <c r="W43" s="191"/>
      <c r="X43" s="191"/>
      <c r="Y43" s="191"/>
      <c r="Z43" s="191"/>
    </row>
    <row r="44" spans="1:29" x14ac:dyDescent="0.25">
      <c r="A44" s="471"/>
      <c r="B44" s="182" t="s">
        <v>381</v>
      </c>
      <c r="C44" s="465">
        <v>2014</v>
      </c>
      <c r="D44" s="546"/>
      <c r="E44" s="471"/>
      <c r="F44" s="471"/>
      <c r="G44" s="471"/>
      <c r="H44" s="471"/>
      <c r="I44" s="471"/>
      <c r="J44" s="471"/>
      <c r="K44" s="515"/>
      <c r="L44" s="179"/>
      <c r="M44" s="193"/>
      <c r="N44" s="193"/>
      <c r="O44" s="191"/>
      <c r="P44" s="191"/>
      <c r="Q44" s="191"/>
      <c r="R44" s="191"/>
      <c r="S44" s="191"/>
      <c r="T44" s="191"/>
      <c r="U44" s="191"/>
      <c r="V44" s="191"/>
      <c r="W44" s="191"/>
      <c r="X44" s="191"/>
      <c r="Y44" s="191"/>
      <c r="Z44" s="191"/>
    </row>
    <row r="45" spans="1:29" x14ac:dyDescent="0.25">
      <c r="A45" s="471"/>
      <c r="B45" s="471"/>
      <c r="C45" s="471"/>
      <c r="D45" s="471"/>
      <c r="E45" s="471"/>
      <c r="F45" s="471"/>
      <c r="G45" s="471"/>
      <c r="H45" s="471"/>
      <c r="I45" s="471"/>
      <c r="J45" s="471"/>
      <c r="K45" s="515"/>
      <c r="L45" s="179"/>
      <c r="M45" s="193"/>
      <c r="N45" s="193"/>
      <c r="O45" s="191"/>
      <c r="P45" s="191"/>
      <c r="Q45" s="191"/>
      <c r="R45" s="191"/>
      <c r="S45" s="191"/>
      <c r="T45" s="191"/>
      <c r="U45" s="191"/>
      <c r="V45" s="191"/>
      <c r="W45" s="191"/>
      <c r="X45" s="191"/>
      <c r="Y45" s="191"/>
      <c r="Z45" s="191"/>
    </row>
    <row r="46" spans="1:29" x14ac:dyDescent="0.25">
      <c r="A46" s="471"/>
      <c r="B46" s="185" t="s">
        <v>372</v>
      </c>
      <c r="C46" s="180"/>
      <c r="D46" s="180"/>
      <c r="E46" s="180"/>
      <c r="F46" s="180"/>
      <c r="G46" s="180"/>
      <c r="H46" s="180"/>
      <c r="I46" s="180"/>
      <c r="J46" s="180"/>
      <c r="K46" s="561"/>
      <c r="L46" s="179"/>
      <c r="M46" s="193"/>
      <c r="N46" s="193"/>
      <c r="O46" s="191"/>
      <c r="P46" s="191"/>
      <c r="Q46" s="191"/>
      <c r="R46" s="191"/>
      <c r="S46" s="191"/>
      <c r="T46" s="191"/>
      <c r="U46" s="191"/>
      <c r="V46" s="191"/>
      <c r="W46" s="191"/>
      <c r="X46" s="191"/>
      <c r="Y46" s="191"/>
      <c r="Z46" s="191"/>
    </row>
    <row r="47" spans="1:29" x14ac:dyDescent="0.25">
      <c r="A47" s="471"/>
      <c r="B47" s="180"/>
      <c r="C47" s="180"/>
      <c r="D47" s="180"/>
      <c r="E47" s="180"/>
      <c r="F47" s="180"/>
      <c r="G47" s="180"/>
      <c r="H47" s="180"/>
      <c r="I47" s="180"/>
      <c r="J47" s="180"/>
      <c r="K47" s="561"/>
      <c r="L47" s="179"/>
      <c r="M47" s="193"/>
      <c r="N47" s="193"/>
      <c r="O47" s="191"/>
      <c r="P47" s="191"/>
      <c r="Q47" s="191"/>
      <c r="R47" s="191"/>
      <c r="S47" s="191"/>
      <c r="T47" s="191"/>
      <c r="U47" s="191"/>
      <c r="V47" s="191"/>
      <c r="W47" s="191"/>
      <c r="X47" s="191"/>
      <c r="Y47" s="191"/>
      <c r="Z47" s="191"/>
    </row>
    <row r="48" spans="1:29" x14ac:dyDescent="0.25">
      <c r="A48" s="471"/>
      <c r="B48" s="579" t="s">
        <v>190</v>
      </c>
      <c r="C48" s="579"/>
      <c r="D48" s="561"/>
      <c r="E48" s="180"/>
      <c r="F48" s="579" t="s">
        <v>18</v>
      </c>
      <c r="G48" s="579"/>
      <c r="H48" s="180"/>
      <c r="I48" s="180"/>
      <c r="J48" s="579" t="s">
        <v>360</v>
      </c>
      <c r="K48" s="579"/>
      <c r="L48" s="179"/>
      <c r="M48" s="193"/>
      <c r="N48" s="193"/>
      <c r="O48" s="191"/>
      <c r="P48" s="191"/>
      <c r="Q48" s="191"/>
      <c r="R48" s="191"/>
      <c r="S48" s="191"/>
      <c r="T48" s="191"/>
      <c r="U48" s="191"/>
      <c r="V48" s="191"/>
      <c r="W48" s="191"/>
      <c r="X48" s="191"/>
      <c r="Y48" s="191"/>
      <c r="Z48" s="191"/>
    </row>
    <row r="49" spans="1:31" x14ac:dyDescent="0.25">
      <c r="A49" s="471"/>
      <c r="B49" s="561"/>
      <c r="C49" s="561"/>
      <c r="D49" s="561"/>
      <c r="E49" s="180"/>
      <c r="F49" s="561"/>
      <c r="G49" s="561"/>
      <c r="H49" s="180"/>
      <c r="I49" s="180"/>
      <c r="J49" s="561"/>
      <c r="K49" s="561"/>
      <c r="L49" s="179"/>
      <c r="M49" s="193"/>
      <c r="N49" s="193"/>
      <c r="O49" s="191"/>
      <c r="P49" s="191"/>
      <c r="Q49" s="191"/>
      <c r="R49" s="191"/>
      <c r="S49" s="191"/>
      <c r="T49" s="191"/>
      <c r="U49" s="191"/>
      <c r="V49" s="191"/>
      <c r="W49" s="191"/>
      <c r="X49" s="191"/>
      <c r="Y49" s="191"/>
      <c r="Z49" s="191"/>
    </row>
    <row r="50" spans="1:31" ht="18" x14ac:dyDescent="0.25">
      <c r="A50" s="471"/>
      <c r="B50" s="181" t="s">
        <v>133</v>
      </c>
      <c r="C50" s="399">
        <v>35.14</v>
      </c>
      <c r="D50" s="548"/>
      <c r="E50" s="180"/>
      <c r="F50" s="186" t="s">
        <v>134</v>
      </c>
      <c r="G50" s="398">
        <v>0.55000000000000004</v>
      </c>
      <c r="H50" s="180"/>
      <c r="I50" s="180"/>
      <c r="J50" s="222" t="s">
        <v>339</v>
      </c>
      <c r="K50" s="461">
        <v>2.4300000000000002</v>
      </c>
      <c r="L50" s="179"/>
      <c r="M50" s="193"/>
      <c r="N50" s="193"/>
      <c r="O50" s="191"/>
      <c r="P50" s="191"/>
      <c r="Q50" s="191"/>
      <c r="R50" s="191"/>
      <c r="S50" s="191"/>
      <c r="T50" s="191"/>
      <c r="U50" s="191"/>
      <c r="V50" s="191"/>
      <c r="W50" s="191"/>
      <c r="X50" s="190"/>
      <c r="Y50" s="190"/>
      <c r="Z50" s="190"/>
    </row>
    <row r="51" spans="1:31" ht="18.75" customHeight="1" x14ac:dyDescent="0.25">
      <c r="A51" s="471"/>
      <c r="B51" s="181" t="s">
        <v>135</v>
      </c>
      <c r="C51" s="399">
        <v>49.09</v>
      </c>
      <c r="D51" s="548"/>
      <c r="E51" s="180"/>
      <c r="F51" s="471"/>
      <c r="G51" s="471"/>
      <c r="H51" s="471"/>
      <c r="I51" s="180"/>
      <c r="J51" s="181" t="s">
        <v>340</v>
      </c>
      <c r="K51" s="461">
        <v>2.65</v>
      </c>
      <c r="L51" s="179"/>
      <c r="M51" s="179"/>
      <c r="N51" s="179"/>
      <c r="O51" s="471"/>
      <c r="P51" s="471"/>
      <c r="Q51" s="471"/>
      <c r="R51" s="471"/>
      <c r="S51" s="471"/>
      <c r="T51" s="471"/>
      <c r="U51" s="471"/>
      <c r="V51" s="471"/>
      <c r="W51" s="471"/>
      <c r="AE51" s="217"/>
    </row>
    <row r="52" spans="1:31" ht="18.75" x14ac:dyDescent="0.3">
      <c r="A52" s="471"/>
      <c r="B52" s="517" t="s">
        <v>308</v>
      </c>
      <c r="C52" s="400">
        <v>2.2999999999999998</v>
      </c>
      <c r="D52" s="548"/>
      <c r="E52" s="180"/>
      <c r="F52" s="180"/>
      <c r="G52" s="180"/>
      <c r="H52" s="180"/>
      <c r="I52" s="180"/>
      <c r="J52" s="471"/>
      <c r="K52" s="471"/>
      <c r="L52" s="471"/>
      <c r="M52" s="471"/>
      <c r="N52" s="179"/>
      <c r="O52" s="471"/>
      <c r="P52" s="471"/>
      <c r="Q52" s="471"/>
      <c r="R52" s="471"/>
      <c r="S52" s="471"/>
      <c r="T52" s="471"/>
      <c r="U52" s="471"/>
      <c r="V52" s="471"/>
      <c r="W52" s="471"/>
      <c r="AE52" s="217"/>
    </row>
    <row r="53" spans="1:31" ht="18.75" x14ac:dyDescent="0.3">
      <c r="A53" s="471"/>
      <c r="B53" s="517" t="s">
        <v>348</v>
      </c>
      <c r="C53" s="400">
        <v>2.2999999999999998</v>
      </c>
      <c r="D53" s="548"/>
      <c r="E53" s="180"/>
      <c r="F53" s="180"/>
      <c r="G53" s="180"/>
      <c r="H53" s="180"/>
      <c r="I53" s="180"/>
      <c r="J53" s="471"/>
      <c r="K53" s="471"/>
      <c r="L53" s="471"/>
      <c r="M53" s="471"/>
      <c r="N53" s="179"/>
      <c r="O53" s="471"/>
      <c r="P53" s="471"/>
      <c r="Q53" s="471"/>
      <c r="R53" s="471"/>
      <c r="S53" s="471"/>
      <c r="T53" s="471"/>
      <c r="U53" s="471"/>
      <c r="V53" s="471"/>
      <c r="W53" s="471"/>
      <c r="AE53" s="217"/>
    </row>
    <row r="54" spans="1:31" x14ac:dyDescent="0.25">
      <c r="A54" s="471"/>
      <c r="B54" s="471"/>
      <c r="C54" s="471"/>
      <c r="D54" s="471"/>
      <c r="E54" s="471"/>
      <c r="F54" s="180"/>
      <c r="G54" s="180"/>
      <c r="H54" s="180"/>
      <c r="I54" s="180"/>
      <c r="J54" s="180"/>
      <c r="K54" s="180"/>
      <c r="L54" s="179"/>
      <c r="M54" s="179"/>
      <c r="N54" s="179"/>
      <c r="O54" s="471"/>
      <c r="P54" s="471"/>
      <c r="Q54" s="471"/>
      <c r="R54" s="471"/>
      <c r="S54" s="471"/>
      <c r="T54" s="471"/>
      <c r="U54" s="471"/>
      <c r="V54" s="471"/>
      <c r="W54" s="471"/>
    </row>
    <row r="55" spans="1:31" x14ac:dyDescent="0.25">
      <c r="A55" s="471"/>
      <c r="B55" s="179"/>
      <c r="C55" s="179"/>
      <c r="D55" s="179"/>
      <c r="E55" s="179"/>
      <c r="F55" s="179"/>
      <c r="G55" s="179"/>
      <c r="H55" s="180"/>
      <c r="I55" s="180"/>
      <c r="J55" s="180"/>
      <c r="K55" s="180"/>
      <c r="L55" s="179"/>
      <c r="M55" s="179"/>
      <c r="N55" s="179"/>
      <c r="O55" s="471"/>
      <c r="P55" s="471"/>
      <c r="Q55" s="471"/>
      <c r="R55" s="471"/>
      <c r="S55" s="471"/>
      <c r="T55" s="471"/>
      <c r="U55" s="471"/>
      <c r="V55" s="471"/>
      <c r="W55" s="471"/>
      <c r="AE55" s="217"/>
    </row>
    <row r="56" spans="1:31" x14ac:dyDescent="0.25">
      <c r="A56" s="471"/>
      <c r="B56" s="179"/>
      <c r="C56" s="179"/>
      <c r="D56" s="179"/>
      <c r="E56" s="179"/>
      <c r="F56" s="179"/>
      <c r="G56" s="179"/>
      <c r="H56" s="180"/>
      <c r="I56" s="180"/>
      <c r="J56" s="180"/>
      <c r="K56" s="180"/>
      <c r="L56" s="179"/>
      <c r="M56" s="179"/>
      <c r="N56" s="179"/>
      <c r="O56" s="471"/>
      <c r="P56" s="471"/>
      <c r="Q56" s="471"/>
      <c r="R56" s="471"/>
      <c r="S56" s="471"/>
      <c r="T56" s="471"/>
      <c r="U56" s="471"/>
      <c r="V56" s="471"/>
      <c r="W56" s="471"/>
      <c r="AE56" s="217"/>
    </row>
    <row r="57" spans="1:31" x14ac:dyDescent="0.25">
      <c r="A57" s="471"/>
      <c r="B57" s="174" t="s">
        <v>146</v>
      </c>
      <c r="C57" s="179"/>
      <c r="D57" s="179"/>
      <c r="E57" s="179"/>
      <c r="F57" s="179"/>
      <c r="G57" s="179"/>
      <c r="H57" s="179"/>
      <c r="I57" s="179"/>
      <c r="J57" s="179"/>
      <c r="K57" s="179"/>
      <c r="L57" s="179"/>
      <c r="M57" s="179"/>
      <c r="N57" s="179"/>
      <c r="O57" s="471"/>
      <c r="P57" s="471"/>
      <c r="Q57" s="471"/>
      <c r="R57" s="471"/>
      <c r="S57" s="471"/>
      <c r="T57" s="471"/>
      <c r="U57" s="471"/>
      <c r="V57" s="471"/>
      <c r="W57" s="471"/>
      <c r="AE57" s="217"/>
    </row>
    <row r="58" spans="1:31" x14ac:dyDescent="0.25">
      <c r="A58" s="471"/>
      <c r="B58" s="179"/>
      <c r="C58" s="179"/>
      <c r="D58" s="179"/>
      <c r="E58" s="179"/>
      <c r="F58" s="179"/>
      <c r="G58" s="179"/>
      <c r="H58" s="179"/>
      <c r="I58" s="179"/>
      <c r="J58" s="179"/>
      <c r="K58" s="179"/>
      <c r="L58" s="179"/>
      <c r="M58" s="179"/>
      <c r="N58" s="179"/>
      <c r="O58" s="471"/>
      <c r="P58" s="471"/>
      <c r="Q58" s="471"/>
      <c r="R58" s="471"/>
      <c r="S58" s="471"/>
      <c r="T58" s="471"/>
      <c r="U58" s="471"/>
      <c r="V58" s="471"/>
      <c r="W58" s="471"/>
      <c r="AE58" s="217"/>
    </row>
    <row r="59" spans="1:31" ht="15.75" customHeight="1" x14ac:dyDescent="0.25">
      <c r="A59" s="471"/>
      <c r="B59" s="579" t="s">
        <v>367</v>
      </c>
      <c r="C59" s="579"/>
      <c r="D59" s="579"/>
      <c r="E59" s="579"/>
      <c r="F59" s="579" t="s">
        <v>18</v>
      </c>
      <c r="G59" s="579"/>
      <c r="H59" s="179"/>
      <c r="I59" s="179"/>
      <c r="J59" s="579" t="s">
        <v>360</v>
      </c>
      <c r="K59" s="579"/>
      <c r="L59" s="179"/>
      <c r="M59" s="179"/>
      <c r="N59" s="179"/>
      <c r="O59" s="471"/>
      <c r="P59" s="471"/>
      <c r="Q59" s="471"/>
      <c r="R59" s="471"/>
      <c r="S59" s="471"/>
      <c r="T59" s="471"/>
      <c r="U59" s="471"/>
      <c r="V59" s="471"/>
      <c r="W59" s="471"/>
    </row>
    <row r="60" spans="1:31" x14ac:dyDescent="0.25">
      <c r="A60" s="471"/>
      <c r="B60" s="179"/>
      <c r="C60" s="179"/>
      <c r="D60" s="179"/>
      <c r="E60" s="179"/>
      <c r="F60" s="179"/>
      <c r="G60" s="179"/>
      <c r="H60" s="179"/>
      <c r="I60" s="179"/>
      <c r="J60" s="179"/>
      <c r="K60" s="179"/>
      <c r="L60" s="179"/>
      <c r="M60" s="179"/>
      <c r="N60" s="179"/>
      <c r="O60" s="471"/>
      <c r="P60" s="471"/>
      <c r="Q60" s="471"/>
      <c r="R60" s="471"/>
      <c r="S60" s="471"/>
      <c r="T60" s="471"/>
      <c r="U60" s="471"/>
      <c r="V60" s="471"/>
      <c r="W60" s="471"/>
    </row>
    <row r="61" spans="1:31" x14ac:dyDescent="0.25">
      <c r="A61" s="471"/>
      <c r="B61" s="181" t="s">
        <v>15</v>
      </c>
      <c r="C61" s="198">
        <v>0.73</v>
      </c>
      <c r="D61" s="538"/>
      <c r="E61" s="179"/>
      <c r="F61" s="183" t="s">
        <v>41</v>
      </c>
      <c r="G61" s="202">
        <v>1.1100000000000001</v>
      </c>
      <c r="H61" s="179" t="s">
        <v>122</v>
      </c>
      <c r="I61" s="179"/>
      <c r="J61" s="223" t="s">
        <v>40</v>
      </c>
      <c r="K61" s="462">
        <v>85</v>
      </c>
      <c r="L61" s="471"/>
      <c r="M61" s="471"/>
      <c r="N61" s="471"/>
      <c r="O61" s="471"/>
      <c r="P61" s="471"/>
      <c r="Q61" s="471"/>
      <c r="R61" s="471"/>
      <c r="S61" s="471"/>
      <c r="T61" s="471"/>
      <c r="U61" s="471"/>
      <c r="V61" s="471"/>
      <c r="W61" s="471"/>
    </row>
    <row r="62" spans="1:31" ht="18.75" x14ac:dyDescent="0.25">
      <c r="A62" s="471"/>
      <c r="B62" s="181" t="s">
        <v>159</v>
      </c>
      <c r="C62" s="237">
        <v>1</v>
      </c>
      <c r="D62" s="547"/>
      <c r="E62" s="179"/>
      <c r="F62" s="181" t="s">
        <v>93</v>
      </c>
      <c r="G62" s="203">
        <v>7</v>
      </c>
      <c r="H62" s="179"/>
      <c r="I62" s="179"/>
      <c r="J62" s="222"/>
      <c r="K62" s="471"/>
      <c r="L62" s="471"/>
      <c r="M62" s="471"/>
      <c r="N62" s="471"/>
      <c r="O62" s="471"/>
      <c r="P62" s="471"/>
      <c r="Q62" s="471"/>
      <c r="R62" s="471"/>
      <c r="S62" s="471"/>
      <c r="T62" s="471"/>
      <c r="U62" s="471"/>
      <c r="V62" s="471"/>
      <c r="W62" s="471"/>
    </row>
    <row r="63" spans="1:31" ht="16.5" x14ac:dyDescent="0.3">
      <c r="A63" s="471"/>
      <c r="B63" s="183" t="s">
        <v>93</v>
      </c>
      <c r="C63" s="200">
        <v>6.8</v>
      </c>
      <c r="D63" s="544"/>
      <c r="E63" s="179"/>
      <c r="F63" s="183" t="s">
        <v>40</v>
      </c>
      <c r="G63" s="202">
        <v>85</v>
      </c>
      <c r="H63" s="179"/>
      <c r="I63" s="179"/>
      <c r="J63" s="183"/>
      <c r="K63" s="519"/>
      <c r="L63" s="471"/>
      <c r="M63" s="471"/>
      <c r="N63" s="471"/>
      <c r="O63" s="471"/>
      <c r="P63" s="471"/>
      <c r="Q63" s="471"/>
      <c r="R63" s="471"/>
      <c r="S63" s="471"/>
      <c r="T63" s="471"/>
      <c r="U63" s="471"/>
      <c r="V63" s="471"/>
      <c r="W63" s="471"/>
    </row>
    <row r="64" spans="1:31" x14ac:dyDescent="0.25">
      <c r="A64" s="471"/>
      <c r="B64" s="179" t="s">
        <v>40</v>
      </c>
      <c r="C64" s="200">
        <v>84</v>
      </c>
      <c r="D64" s="544"/>
      <c r="E64" s="179"/>
      <c r="F64" s="179"/>
      <c r="G64" s="179"/>
      <c r="H64" s="179"/>
      <c r="I64" s="179"/>
      <c r="J64" s="179"/>
      <c r="K64" s="179"/>
      <c r="L64" s="471"/>
      <c r="M64" s="471"/>
      <c r="N64" s="471"/>
      <c r="O64" s="471"/>
      <c r="P64" s="471"/>
      <c r="Q64" s="471"/>
      <c r="R64" s="471"/>
      <c r="S64" s="471"/>
      <c r="T64" s="471"/>
      <c r="U64" s="471"/>
      <c r="V64" s="471"/>
      <c r="W64" s="471"/>
    </row>
    <row r="65" spans="1:23" x14ac:dyDescent="0.25">
      <c r="A65" s="471"/>
      <c r="B65" s="471"/>
      <c r="C65" s="471"/>
      <c r="D65" s="542"/>
      <c r="E65" s="471"/>
      <c r="F65" s="471"/>
      <c r="G65" s="471"/>
      <c r="H65" s="471"/>
      <c r="I65" s="471"/>
      <c r="J65" s="471"/>
      <c r="K65" s="471"/>
      <c r="L65" s="471"/>
      <c r="M65" s="471"/>
      <c r="N65" s="471"/>
      <c r="O65" s="471"/>
      <c r="P65" s="471"/>
      <c r="Q65" s="471"/>
      <c r="R65" s="471"/>
      <c r="S65" s="471"/>
      <c r="T65" s="471"/>
      <c r="U65" s="471"/>
      <c r="V65" s="471"/>
      <c r="W65" s="471"/>
    </row>
    <row r="66" spans="1:23" ht="15.75" customHeight="1" x14ac:dyDescent="0.25">
      <c r="A66" s="471"/>
      <c r="B66" s="471"/>
      <c r="C66" s="238">
        <v>1</v>
      </c>
      <c r="D66" s="550" t="s">
        <v>218</v>
      </c>
      <c r="E66" s="518"/>
      <c r="F66" s="471"/>
      <c r="G66" s="471"/>
      <c r="H66" s="471"/>
      <c r="I66" s="471"/>
      <c r="J66" s="471"/>
      <c r="K66" s="471"/>
      <c r="L66" s="471"/>
      <c r="M66" s="471"/>
      <c r="N66" s="471"/>
      <c r="O66" s="471"/>
      <c r="P66" s="471"/>
      <c r="Q66" s="471"/>
      <c r="R66" s="471"/>
      <c r="S66" s="471"/>
      <c r="T66" s="471"/>
      <c r="U66" s="471"/>
      <c r="V66" s="471"/>
      <c r="W66" s="471"/>
    </row>
    <row r="67" spans="1:23" x14ac:dyDescent="0.25">
      <c r="A67" s="471"/>
      <c r="B67" s="471"/>
      <c r="C67" s="471"/>
      <c r="D67" s="551" t="s">
        <v>219</v>
      </c>
      <c r="E67" s="518"/>
      <c r="F67" s="471"/>
      <c r="G67" s="471"/>
      <c r="H67" s="471"/>
      <c r="I67" s="471"/>
      <c r="J67" s="471"/>
      <c r="K67" s="471"/>
      <c r="L67" s="471"/>
      <c r="M67" s="471"/>
      <c r="N67" s="471"/>
      <c r="O67" s="471"/>
      <c r="P67" s="471"/>
      <c r="Q67" s="471"/>
      <c r="R67" s="471"/>
      <c r="S67" s="471"/>
      <c r="T67" s="471"/>
      <c r="U67" s="471"/>
      <c r="V67" s="471"/>
      <c r="W67" s="471"/>
    </row>
    <row r="68" spans="1:23" x14ac:dyDescent="0.25">
      <c r="A68" s="471"/>
      <c r="B68" s="471"/>
      <c r="C68" s="471"/>
      <c r="D68" s="471"/>
      <c r="E68" s="471"/>
      <c r="F68" s="471"/>
      <c r="G68" s="471"/>
      <c r="H68" s="471"/>
      <c r="I68" s="471"/>
      <c r="J68" s="471"/>
      <c r="K68" s="471"/>
      <c r="L68" s="471"/>
      <c r="M68" s="471"/>
      <c r="N68" s="471"/>
      <c r="O68" s="471"/>
      <c r="P68" s="471"/>
      <c r="Q68" s="471"/>
      <c r="R68" s="471"/>
      <c r="S68" s="471"/>
      <c r="T68" s="471"/>
      <c r="U68" s="471"/>
      <c r="V68" s="471"/>
      <c r="W68" s="471"/>
    </row>
    <row r="69" spans="1:23" x14ac:dyDescent="0.25">
      <c r="A69" s="471"/>
      <c r="B69" s="471"/>
      <c r="C69" s="471"/>
      <c r="D69" s="471"/>
      <c r="E69" s="471"/>
      <c r="F69" s="471"/>
      <c r="G69" s="471"/>
      <c r="H69" s="471"/>
      <c r="I69" s="471"/>
      <c r="J69" s="471"/>
      <c r="K69" s="471"/>
      <c r="L69" s="471"/>
      <c r="M69" s="471"/>
      <c r="N69" s="471"/>
      <c r="O69" s="471"/>
      <c r="P69" s="471"/>
      <c r="Q69" s="471"/>
      <c r="R69" s="471"/>
      <c r="S69" s="471"/>
      <c r="T69" s="471"/>
      <c r="U69" s="471"/>
      <c r="V69" s="471"/>
      <c r="W69" s="471"/>
    </row>
    <row r="70" spans="1:23" x14ac:dyDescent="0.25">
      <c r="A70" s="471"/>
      <c r="B70" s="471"/>
      <c r="C70" s="471"/>
      <c r="D70" s="471"/>
      <c r="E70" s="471"/>
      <c r="F70" s="471"/>
      <c r="G70" s="471"/>
      <c r="H70" s="471"/>
      <c r="I70" s="471"/>
      <c r="J70" s="471"/>
      <c r="K70" s="471"/>
      <c r="L70" s="471"/>
      <c r="M70" s="471"/>
      <c r="N70" s="471"/>
      <c r="O70" s="471"/>
      <c r="P70" s="471"/>
      <c r="Q70" s="471"/>
      <c r="R70" s="471"/>
      <c r="S70" s="471"/>
      <c r="T70" s="471"/>
      <c r="U70" s="471"/>
      <c r="V70" s="471"/>
      <c r="W70" s="471"/>
    </row>
  </sheetData>
  <sheetProtection password="C5B9" sheet="1" objects="1" scenarios="1"/>
  <mergeCells count="14">
    <mergeCell ref="C3:D3"/>
    <mergeCell ref="C4:D4"/>
    <mergeCell ref="W13:X14"/>
    <mergeCell ref="C2:F2"/>
    <mergeCell ref="H2:K2"/>
    <mergeCell ref="H3:K3"/>
    <mergeCell ref="H4:K4"/>
    <mergeCell ref="K24:M25"/>
    <mergeCell ref="F59:G59"/>
    <mergeCell ref="J59:K59"/>
    <mergeCell ref="B48:C48"/>
    <mergeCell ref="F48:G48"/>
    <mergeCell ref="J48:K48"/>
    <mergeCell ref="B59:E59"/>
  </mergeCells>
  <dataValidations count="13">
    <dataValidation type="decimal" operator="greaterThanOrEqual" allowBlank="1" showInputMessage="1" showErrorMessage="1" sqref="E10:E11 C61:D61 C50:D53" xr:uid="{00000000-0002-0000-0100-000000000000}">
      <formula1>0</formula1>
    </dataValidation>
    <dataValidation type="decimal" allowBlank="1" showInputMessage="1" showErrorMessage="1" sqref="L14 C64:D64 G63" xr:uid="{00000000-0002-0000-0100-000001000000}">
      <formula1>1</formula1>
      <formula2>100</formula2>
    </dataValidation>
    <dataValidation type="decimal" operator="greaterThan" allowBlank="1" showInputMessage="1" showErrorMessage="1" sqref="C36:D36 G61 L20 G13:G32 L17 E13:E32 B13:B32 L27" xr:uid="{00000000-0002-0000-0100-000002000000}">
      <formula1>0</formula1>
    </dataValidation>
    <dataValidation type="decimal" allowBlank="1" showInputMessage="1" showErrorMessage="1" sqref="F13:F32 C13:C32" xr:uid="{00000000-0002-0000-0100-000003000000}">
      <formula1>0</formula1>
      <formula2>100</formula2>
    </dataValidation>
    <dataValidation type="decimal" allowBlank="1" showInputMessage="1" showErrorMessage="1" sqref="C37:D37 C62:D62" xr:uid="{00000000-0002-0000-0100-000004000000}">
      <formula1>0.5</formula1>
      <formula2>3</formula2>
    </dataValidation>
    <dataValidation type="decimal" allowBlank="1" showInputMessage="1" showErrorMessage="1" sqref="C38:D38" xr:uid="{00000000-0002-0000-0100-000005000000}">
      <formula1>1</formula1>
      <formula2>10</formula2>
    </dataValidation>
    <dataValidation type="decimal" allowBlank="1" showInputMessage="1" showErrorMessage="1" sqref="C39" xr:uid="{00000000-0002-0000-0100-000006000000}">
      <formula1>0</formula1>
      <formula2>5000</formula2>
    </dataValidation>
    <dataValidation type="decimal" allowBlank="1" showInputMessage="1" showErrorMessage="1" sqref="C63:D63 G62" xr:uid="{00000000-0002-0000-0100-000007000000}">
      <formula1>0</formula1>
      <formula2>10</formula2>
    </dataValidation>
    <dataValidation type="decimal" allowBlank="1" showErrorMessage="1" errorTitle="&quot;W&quot; out of bounds" error="As indicated in the &quot;References&quot; tab, the free face ratio &quot;W&quot; should be between 1% and 20%. Please adjust input to run a PB Lateral Spread Analysis." sqref="G37" xr:uid="{00000000-0002-0000-0100-000008000000}">
      <formula1>0</formula1>
      <formula2>20</formula2>
    </dataValidation>
    <dataValidation type="decimal" allowBlank="1" showInputMessage="1" showErrorMessage="1" errorTitle="&quot;T15&quot; out of bounds" error="As indicated in the &quot;References&quot; tab, the cumulative thickness of saturated granular layer &quot;T15&quot; should be between 1m (3.3ft) and 15m (49.2ft). Please adjust input to run a PB Lateral Spread Analysis." sqref="G38" xr:uid="{00000000-0002-0000-0100-000009000000}">
      <formula1>I38-0.000001</formula1>
      <formula2>J38+0.000001</formula2>
    </dataValidation>
    <dataValidation type="decimal" allowBlank="1" showInputMessage="1" showErrorMessage="1" errorTitle="&quot;F15&quot; out of bounds" error="As indicated in the &quot;References&quot; tab, the average fines content within T15 &quot;F15&quot; should be between 0.1% and 70%. Please adjust input to run a PB Lateral Spread Analysis." sqref="G39" xr:uid="{00000000-0002-0000-0100-00000A000000}">
      <formula1>0.1</formula1>
      <formula2>70</formula2>
    </dataValidation>
    <dataValidation type="decimal" allowBlank="1" showInputMessage="1" showErrorMessage="1" errorTitle="&quot;D50&quot; out of bounds" error="As indicated in the &quot;References&quot; tab, the mean grain size for granular material within T15 &quot;D50&quot; should be between 0.07mm and and 10mm. Please adjust input to run a PB Lateral Spread Analysis." sqref="G40" xr:uid="{00000000-0002-0000-0100-00000B000000}">
      <formula1>0.005</formula1>
      <formula2>10</formula2>
    </dataValidation>
    <dataValidation type="decimal" allowBlank="1" showInputMessage="1" showErrorMessage="1" errorTitle=" &quot;S&quot; out of bounds" error="As indicated in the &quot;References&quot; tab, the ground slope parameter &quot;S&quot; should be between 0.1% and 6%. Please adjust input to run a PB Lateral Spread Analysis." sqref="G36" xr:uid="{00000000-0002-0000-0100-00000C000000}">
      <formula1>0</formula1>
      <formula2>6</formula2>
    </dataValidation>
  </dataValidations>
  <pageMargins left="0.7" right="0.7" top="0.75" bottom="0.75" header="0.3" footer="0.3"/>
  <pageSetup orientation="portrait" r:id="rId1"/>
  <ignoredErrors>
    <ignoredError sqref="H9 I38:J38 M38:N38" unlockedFormula="1"/>
  </ignoredErrors>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5" id="{62471499-77DA-42E1-8266-FBA317F00858}">
            <xm:f>$Q$13&lt;&gt;_Hidden!$A$22</xm:f>
            <x14:dxf>
              <fill>
                <patternFill patternType="darkUp"/>
              </fill>
            </x14:dxf>
          </x14:cfRule>
          <xm:sqref>C39</xm:sqref>
        </x14:conditionalFormatting>
      </x14:conditionalFormattings>
    </ext>
    <ext xmlns:x14="http://schemas.microsoft.com/office/spreadsheetml/2009/9/main" uri="{CCE6A557-97BC-4b89-ADB6-D9C93CAAB3DF}">
      <x14:dataValidations xmlns:xm="http://schemas.microsoft.com/office/excel/2006/main" count="11">
        <x14:dataValidation type="list" allowBlank="1" showInputMessage="1" showErrorMessage="1" xr:uid="{00000000-0002-0000-0100-00000D000000}">
          <x14:formula1>
            <xm:f>_Hidden!$A$6:$A$11</xm:f>
          </x14:formula1>
          <xm:sqref>C40:D40</xm:sqref>
        </x14:dataValidation>
        <x14:dataValidation type="list" allowBlank="1" showInputMessage="1" showErrorMessage="1" xr:uid="{00000000-0002-0000-0100-00000E000000}">
          <x14:formula1>
            <xm:f>_Hidden!$A$2:$A$3</xm:f>
          </x14:formula1>
          <xm:sqref>C6:D6</xm:sqref>
        </x14:dataValidation>
        <x14:dataValidation type="list" allowBlank="1" showInputMessage="1" showErrorMessage="1" xr:uid="{00000000-0002-0000-0100-00000F000000}">
          <x14:formula1>
            <xm:f>_Hidden!$A$14:$A$15</xm:f>
          </x14:formula1>
          <xm:sqref>L23</xm:sqref>
        </x14:dataValidation>
        <x14:dataValidation type="list" allowBlank="1" showInputMessage="1" showErrorMessage="1" xr:uid="{00000000-0002-0000-0100-000010000000}">
          <x14:formula1>
            <xm:f>_Hidden!$A$18:$A$19</xm:f>
          </x14:formula1>
          <xm:sqref>C42 C66</xm:sqref>
        </x14:dataValidation>
        <x14:dataValidation type="list" allowBlank="1" showInputMessage="1" showErrorMessage="1" xr:uid="{00000000-0002-0000-0100-000011000000}">
          <x14:formula1>
            <xm:f>_Hidden!$A$22:$A$23</xm:f>
          </x14:formula1>
          <xm:sqref>Q13 S13 R21:R23 R9:R11 X16 V16</xm:sqref>
        </x14:dataValidation>
        <x14:dataValidation type="list" allowBlank="1" showInputMessage="1" showErrorMessage="1" xr:uid="{00000000-0002-0000-0100-000012000000}">
          <x14:formula1>
            <xm:f>_Hidden!$A$26:$A$27</xm:f>
          </x14:formula1>
          <xm:sqref>V13</xm:sqref>
        </x14:dataValidation>
        <x14:dataValidation type="list" allowBlank="1" showInputMessage="1" showErrorMessage="1" xr:uid="{00000000-0002-0000-0100-000013000000}">
          <x14:formula1>
            <xm:f>_Hidden!$A$30:$A$31</xm:f>
          </x14:formula1>
          <xm:sqref>Q16</xm:sqref>
        </x14:dataValidation>
        <x14:dataValidation type="list" allowBlank="1" showInputMessage="1" showErrorMessage="1" xr:uid="{00000000-0002-0000-0100-000014000000}">
          <x14:formula1>
            <xm:f>_Hidden!$A$34:$A$35</xm:f>
          </x14:formula1>
          <xm:sqref>J13:J32</xm:sqref>
        </x14:dataValidation>
        <x14:dataValidation type="list" allowBlank="1" showInputMessage="1" showErrorMessage="1" xr:uid="{00000000-0002-0000-0100-000015000000}">
          <x14:formula1>
            <xm:f>_Hidden!$A$48:$A$49</xm:f>
          </x14:formula1>
          <xm:sqref>C44:D44</xm:sqref>
        </x14:dataValidation>
        <x14:dataValidation type="list" allowBlank="1" showInputMessage="1" showErrorMessage="1" xr:uid="{00000000-0002-0000-0100-000016000000}">
          <x14:formula1>
            <xm:f>_Hidden!$A$52:$A$54</xm:f>
          </x14:formula1>
          <xm:sqref>H8</xm:sqref>
        </x14:dataValidation>
        <x14:dataValidation type="list" allowBlank="1" showInputMessage="1" showErrorMessage="1" xr:uid="{00000000-0002-0000-0100-000017000000}">
          <x14:formula1>
            <xm:f>_Hidden!$A$57:$A$62</xm:f>
          </x14:formula1>
          <xm:sqref>D13:D32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theme="4" tint="-0.249977111117893"/>
  </sheetPr>
  <dimension ref="A1:AN49"/>
  <sheetViews>
    <sheetView showGridLines="0" view="pageLayout" zoomScale="75" zoomScaleNormal="100" zoomScalePageLayoutView="75" workbookViewId="0"/>
  </sheetViews>
  <sheetFormatPr defaultRowHeight="15.75" x14ac:dyDescent="0.25"/>
  <cols>
    <col min="1" max="1" width="10.125" customWidth="1"/>
    <col min="2" max="2" width="9" customWidth="1"/>
    <col min="3" max="3" width="11.375" customWidth="1"/>
    <col min="5" max="5" width="8.625" customWidth="1"/>
    <col min="6" max="6" width="9.5" customWidth="1"/>
    <col min="7" max="7" width="6.5" customWidth="1"/>
    <col min="8" max="8" width="10.375" customWidth="1"/>
    <col min="9" max="9" width="9.5" customWidth="1"/>
    <col min="10" max="10" width="9.25" customWidth="1"/>
    <col min="11" max="11" width="8" bestFit="1" customWidth="1"/>
    <col min="12" max="12" width="8.875" bestFit="1" customWidth="1"/>
    <col min="13" max="13" width="8" bestFit="1" customWidth="1"/>
    <col min="14" max="14" width="7.5" customWidth="1"/>
    <col min="15" max="20" width="7.125" customWidth="1"/>
    <col min="21" max="21" width="9.125" bestFit="1" customWidth="1"/>
    <col min="22" max="22" width="8" bestFit="1" customWidth="1"/>
    <col min="23" max="23" width="8.875" bestFit="1" customWidth="1"/>
    <col min="24" max="24" width="8" bestFit="1" customWidth="1"/>
    <col min="25" max="31" width="7.125" customWidth="1"/>
    <col min="34" max="34" width="9.875" customWidth="1"/>
  </cols>
  <sheetData>
    <row r="1" spans="1:40" x14ac:dyDescent="0.25">
      <c r="A1" s="565" t="s">
        <v>3</v>
      </c>
      <c r="B1" s="615" t="str">
        <f>IF(Inputs!$C$2="","",Inputs!$C$2)</f>
        <v>GEO Company</v>
      </c>
      <c r="C1" s="615"/>
      <c r="D1" s="616"/>
      <c r="E1" s="50" t="s">
        <v>94</v>
      </c>
      <c r="F1" s="617" t="str">
        <f>IF(Inputs!$H$2="","",Inputs!$H$2)</f>
        <v>Example Problem</v>
      </c>
      <c r="G1" s="617"/>
      <c r="H1" s="617"/>
      <c r="I1" s="618"/>
      <c r="J1" s="565" t="s">
        <v>3</v>
      </c>
      <c r="K1" s="607" t="str">
        <f>IF(Inputs!$C$2="","",Inputs!$C$2)</f>
        <v>GEO Company</v>
      </c>
      <c r="L1" s="607"/>
      <c r="M1" s="607"/>
      <c r="N1" s="609" t="s">
        <v>94</v>
      </c>
      <c r="O1" s="610"/>
      <c r="P1" s="611" t="str">
        <f>IF(Inputs!$H$2="","",Inputs!$H$2)</f>
        <v>Example Problem</v>
      </c>
      <c r="Q1" s="611"/>
      <c r="R1" s="611"/>
      <c r="S1" s="611"/>
      <c r="T1" s="612"/>
      <c r="U1" s="565" t="s">
        <v>3</v>
      </c>
      <c r="V1" s="607" t="str">
        <f>IF(Inputs!$C$2="","",Inputs!$C$2)</f>
        <v>GEO Company</v>
      </c>
      <c r="W1" s="607"/>
      <c r="X1" s="607"/>
      <c r="Y1" s="609" t="s">
        <v>94</v>
      </c>
      <c r="Z1" s="610"/>
      <c r="AA1" s="611" t="str">
        <f>IF(Inputs!$H$2="","",Inputs!$H$2)</f>
        <v>Example Problem</v>
      </c>
      <c r="AB1" s="611"/>
      <c r="AC1" s="611"/>
      <c r="AD1" s="611"/>
      <c r="AE1" s="612"/>
      <c r="AF1" s="565" t="s">
        <v>3</v>
      </c>
      <c r="AG1" s="607" t="str">
        <f>IF(Inputs!$C$2="","",Inputs!$C$2)</f>
        <v>GEO Company</v>
      </c>
      <c r="AH1" s="607"/>
      <c r="AI1" s="608"/>
      <c r="AJ1" s="50" t="s">
        <v>94</v>
      </c>
      <c r="AK1" s="607" t="str">
        <f>IF(Inputs!$H$2="","",Inputs!$H$2)</f>
        <v>Example Problem</v>
      </c>
      <c r="AL1" s="607"/>
      <c r="AM1" s="607"/>
      <c r="AN1" s="608"/>
    </row>
    <row r="2" spans="1:40" x14ac:dyDescent="0.25">
      <c r="A2" s="565" t="s">
        <v>379</v>
      </c>
      <c r="B2" s="290" t="str">
        <f>IF(Inputs!$C$3="","",Inputs!$C$3)</f>
        <v>BME</v>
      </c>
      <c r="C2" s="139" t="s">
        <v>98</v>
      </c>
      <c r="D2" s="290" t="str">
        <f>IF(Inputs!$F$3="","",Inputs!$F$3)</f>
        <v/>
      </c>
      <c r="E2" s="50" t="s">
        <v>8</v>
      </c>
      <c r="F2" s="617" t="str">
        <f>IF(Inputs!$H$3="","",Inputs!$H$3)</f>
        <v>Salt Lake City, UT</v>
      </c>
      <c r="G2" s="617" t="str">
        <f>IF(Inputs!I3="","",Inputs!I3)</f>
        <v/>
      </c>
      <c r="H2" s="617" t="str">
        <f>IF(Inputs!J3="","",Inputs!J3)</f>
        <v/>
      </c>
      <c r="I2" s="618" t="str">
        <f>IF(Inputs!K3="","",Inputs!K3)</f>
        <v/>
      </c>
      <c r="J2" s="565" t="s">
        <v>379</v>
      </c>
      <c r="K2" s="290" t="str">
        <f>IF(Inputs!$C$3="","",Inputs!$C$3)</f>
        <v>BME</v>
      </c>
      <c r="L2" s="139" t="s">
        <v>138</v>
      </c>
      <c r="M2" s="291" t="str">
        <f>IF(Inputs!$F$3="","",Inputs!$F$3)</f>
        <v/>
      </c>
      <c r="N2" s="609" t="s">
        <v>8</v>
      </c>
      <c r="O2" s="610"/>
      <c r="P2" s="611" t="str">
        <f>IF(Inputs!$H$3="","",Inputs!$H$3)</f>
        <v>Salt Lake City, UT</v>
      </c>
      <c r="Q2" s="611"/>
      <c r="R2" s="611"/>
      <c r="S2" s="611"/>
      <c r="T2" s="612"/>
      <c r="U2" s="565" t="s">
        <v>379</v>
      </c>
      <c r="V2" s="290" t="str">
        <f>IF(Inputs!$C$3="","",Inputs!$C$3)</f>
        <v>BME</v>
      </c>
      <c r="W2" s="139" t="s">
        <v>138</v>
      </c>
      <c r="X2" s="291" t="str">
        <f>IF(Inputs!$F$3="","",Inputs!$F$3)</f>
        <v/>
      </c>
      <c r="Y2" s="609" t="s">
        <v>8</v>
      </c>
      <c r="Z2" s="610"/>
      <c r="AA2" s="611" t="str">
        <f>IF(Inputs!$H$3="","",Inputs!$H$3)</f>
        <v>Salt Lake City, UT</v>
      </c>
      <c r="AB2" s="611"/>
      <c r="AC2" s="611"/>
      <c r="AD2" s="611"/>
      <c r="AE2" s="612"/>
      <c r="AF2" s="565" t="s">
        <v>379</v>
      </c>
      <c r="AG2" s="290" t="str">
        <f>IF(Inputs!$C$3="","",Inputs!$C$3)</f>
        <v>BME</v>
      </c>
      <c r="AH2" s="139" t="s">
        <v>138</v>
      </c>
      <c r="AI2" s="290" t="str">
        <f>IF(Inputs!$F$3="","",Inputs!$F$3)</f>
        <v/>
      </c>
      <c r="AJ2" s="50" t="s">
        <v>8</v>
      </c>
      <c r="AK2" s="607" t="str">
        <f>IF(Inputs!$H$3="","",Inputs!$H$3)</f>
        <v>Salt Lake City, UT</v>
      </c>
      <c r="AL2" s="607" t="str">
        <f>IF(Inputs!AN3="","",Inputs!AN3)</f>
        <v/>
      </c>
      <c r="AM2" s="607" t="str">
        <f>IF(Inputs!AO3="","",Inputs!AO3)</f>
        <v/>
      </c>
      <c r="AN2" s="608" t="str">
        <f>IF(Inputs!AP3="","",Inputs!AP3)</f>
        <v/>
      </c>
    </row>
    <row r="3" spans="1:40" x14ac:dyDescent="0.25">
      <c r="A3" s="140" t="s">
        <v>4</v>
      </c>
      <c r="B3" s="141">
        <f>IF(Inputs!$C$4="","",Inputs!$C$4)</f>
        <v>43348</v>
      </c>
      <c r="C3" s="51" t="s">
        <v>4</v>
      </c>
      <c r="D3" s="141" t="str">
        <f>IF(Inputs!$F$4="","",Inputs!$F$4)</f>
        <v/>
      </c>
      <c r="E3" s="51" t="s">
        <v>7</v>
      </c>
      <c r="F3" s="619" t="str">
        <f>IF(Inputs!$H$4="","",Inputs!$H$4)</f>
        <v>AB-123-4567</v>
      </c>
      <c r="G3" s="619" t="str">
        <f>IF(Inputs!I4="","",Inputs!I4)</f>
        <v/>
      </c>
      <c r="H3" s="619" t="str">
        <f>IF(Inputs!J4="","",Inputs!J4)</f>
        <v/>
      </c>
      <c r="I3" s="620" t="str">
        <f>IF(Inputs!K4="","",Inputs!K4)</f>
        <v/>
      </c>
      <c r="J3" s="140" t="s">
        <v>4</v>
      </c>
      <c r="K3" s="141">
        <f>IF(Inputs!$C$4="","",Inputs!$C$4)</f>
        <v>43348</v>
      </c>
      <c r="L3" s="51" t="s">
        <v>4</v>
      </c>
      <c r="M3" s="292" t="str">
        <f>IF(Inputs!$F$4="","",Inputs!$F$4)</f>
        <v/>
      </c>
      <c r="N3" s="613" t="s">
        <v>7</v>
      </c>
      <c r="O3" s="614"/>
      <c r="P3" s="607" t="str">
        <f>IF(Inputs!$H$4="","",Inputs!$H$4)</f>
        <v>AB-123-4567</v>
      </c>
      <c r="Q3" s="607"/>
      <c r="R3" s="607"/>
      <c r="S3" s="607"/>
      <c r="T3" s="608"/>
      <c r="U3" s="140" t="s">
        <v>4</v>
      </c>
      <c r="V3" s="141">
        <f>IF(Inputs!$C$4="","",Inputs!$C$4)</f>
        <v>43348</v>
      </c>
      <c r="W3" s="51" t="s">
        <v>4</v>
      </c>
      <c r="X3" s="292" t="str">
        <f>IF(Inputs!$F$4="","",Inputs!$F$4)</f>
        <v/>
      </c>
      <c r="Y3" s="613" t="s">
        <v>7</v>
      </c>
      <c r="Z3" s="614"/>
      <c r="AA3" s="607" t="str">
        <f>IF(Inputs!$H$4="","",Inputs!$H$4)</f>
        <v>AB-123-4567</v>
      </c>
      <c r="AB3" s="607"/>
      <c r="AC3" s="607"/>
      <c r="AD3" s="607"/>
      <c r="AE3" s="608"/>
      <c r="AF3" s="140" t="s">
        <v>4</v>
      </c>
      <c r="AG3" s="141">
        <f>IF(Inputs!$C$4="","",Inputs!$C$4)</f>
        <v>43348</v>
      </c>
      <c r="AH3" s="51" t="s">
        <v>4</v>
      </c>
      <c r="AI3" s="141" t="str">
        <f>IF(Inputs!$F$4="","",Inputs!$F$4)</f>
        <v/>
      </c>
      <c r="AJ3" s="50" t="s">
        <v>7</v>
      </c>
      <c r="AK3" s="607" t="str">
        <f>IF(Inputs!$H$4="","",Inputs!$H$4)</f>
        <v>AB-123-4567</v>
      </c>
      <c r="AL3" s="607" t="str">
        <f>IF(Inputs!AN4="","",Inputs!AN4)</f>
        <v/>
      </c>
      <c r="AM3" s="607" t="str">
        <f>IF(Inputs!AO4="","",Inputs!AO4)</f>
        <v/>
      </c>
      <c r="AN3" s="608" t="str">
        <f>IF(Inputs!AP4="","",Inputs!AP4)</f>
        <v/>
      </c>
    </row>
    <row r="4" spans="1:40" ht="9.75" customHeight="1" x14ac:dyDescent="0.25">
      <c r="A4" s="72"/>
      <c r="B4" s="72"/>
      <c r="C4" s="72"/>
      <c r="D4" s="72"/>
      <c r="E4" s="72"/>
      <c r="F4" s="72"/>
      <c r="G4" s="72"/>
      <c r="H4" s="72"/>
      <c r="I4" s="72"/>
      <c r="J4" s="80"/>
      <c r="K4" s="80"/>
      <c r="L4" s="80"/>
      <c r="M4" s="80"/>
      <c r="N4" s="80"/>
      <c r="O4" s="80"/>
      <c r="P4" s="80"/>
      <c r="Q4" s="80"/>
      <c r="R4" s="80"/>
      <c r="S4" s="142"/>
      <c r="T4" s="142"/>
      <c r="U4" s="142"/>
      <c r="V4" s="142"/>
      <c r="W4" s="142"/>
      <c r="X4" s="142"/>
      <c r="Y4" s="142"/>
      <c r="Z4" s="142"/>
      <c r="AA4" s="142"/>
      <c r="AB4" s="142"/>
      <c r="AC4" s="142"/>
      <c r="AD4" s="142"/>
      <c r="AE4" s="142"/>
      <c r="AF4" s="142"/>
      <c r="AG4" s="142"/>
      <c r="AH4" s="142"/>
      <c r="AI4" s="142"/>
      <c r="AJ4" s="142"/>
      <c r="AK4" s="142"/>
      <c r="AL4" s="142"/>
      <c r="AM4" s="142"/>
      <c r="AN4" s="142"/>
    </row>
    <row r="5" spans="1:40" x14ac:dyDescent="0.25">
      <c r="A5" s="52" t="s">
        <v>246</v>
      </c>
      <c r="B5" s="72"/>
      <c r="C5" s="72"/>
      <c r="D5" s="72"/>
      <c r="E5" s="72"/>
      <c r="F5" s="72"/>
      <c r="G5" s="72"/>
      <c r="H5" s="72"/>
      <c r="I5" s="72"/>
      <c r="J5" s="143" t="s">
        <v>323</v>
      </c>
      <c r="K5" s="80"/>
      <c r="L5" s="80"/>
      <c r="M5" s="80"/>
      <c r="N5" s="80"/>
      <c r="O5" s="80"/>
      <c r="P5" s="80"/>
      <c r="Q5" s="80"/>
      <c r="R5" s="80"/>
      <c r="S5" s="143"/>
      <c r="T5" s="142"/>
      <c r="U5" s="143" t="s">
        <v>322</v>
      </c>
      <c r="V5" s="80"/>
      <c r="W5" s="80"/>
      <c r="X5" s="80"/>
      <c r="Y5" s="80"/>
      <c r="Z5" s="80"/>
      <c r="AA5" s="80"/>
      <c r="AB5" s="80"/>
      <c r="AC5" s="80"/>
      <c r="AD5" s="143"/>
      <c r="AE5" s="142"/>
      <c r="AF5" s="440" t="s">
        <v>223</v>
      </c>
      <c r="AG5" s="142"/>
      <c r="AH5" s="142"/>
      <c r="AI5" s="142"/>
      <c r="AJ5" s="142"/>
      <c r="AK5" s="142"/>
      <c r="AL5" s="142"/>
      <c r="AM5" s="142"/>
      <c r="AN5" s="142"/>
    </row>
    <row r="6" spans="1:40" ht="14.25" customHeight="1" x14ac:dyDescent="0.25">
      <c r="A6" s="72"/>
      <c r="B6" s="72"/>
      <c r="C6" s="72"/>
      <c r="D6" s="72"/>
      <c r="E6" s="72"/>
      <c r="F6" s="68"/>
      <c r="G6" s="69" t="s">
        <v>92</v>
      </c>
      <c r="H6" s="70">
        <f>IF(Hammer_Eff="","",Hammer_Eff)</f>
        <v>77</v>
      </c>
      <c r="I6" s="71" t="s">
        <v>24</v>
      </c>
      <c r="J6" s="80"/>
      <c r="K6" s="80"/>
      <c r="L6" s="80"/>
      <c r="M6" s="80"/>
      <c r="N6" s="80"/>
      <c r="O6" s="80"/>
      <c r="P6" s="80"/>
      <c r="Q6" s="80"/>
      <c r="R6" s="80"/>
      <c r="S6" s="80"/>
      <c r="T6" s="142"/>
      <c r="U6" s="80"/>
      <c r="V6" s="80"/>
      <c r="W6" s="80"/>
      <c r="X6" s="80"/>
      <c r="Y6" s="80"/>
      <c r="Z6" s="80"/>
      <c r="AA6" s="80"/>
      <c r="AB6" s="80"/>
      <c r="AC6" s="80"/>
      <c r="AD6" s="80"/>
      <c r="AE6" s="142"/>
      <c r="AF6" s="142"/>
      <c r="AG6" s="142"/>
      <c r="AH6" s="142"/>
      <c r="AI6" s="142"/>
      <c r="AJ6" s="142"/>
      <c r="AK6" s="142"/>
      <c r="AL6" s="142"/>
      <c r="AM6" s="142"/>
      <c r="AN6" s="142"/>
    </row>
    <row r="7" spans="1:40" ht="16.5" customHeight="1" x14ac:dyDescent="0.25">
      <c r="A7" s="78"/>
      <c r="B7" s="142"/>
      <c r="C7" s="532" t="s">
        <v>443</v>
      </c>
      <c r="D7" s="70">
        <f>IF(gw_depth="","",gw_depth)</f>
        <v>5</v>
      </c>
      <c r="E7" s="144" t="str">
        <f>IF(units=1,"m","ft")</f>
        <v>ft</v>
      </c>
      <c r="F7" s="71"/>
      <c r="G7" s="69" t="s">
        <v>75</v>
      </c>
      <c r="H7" s="70">
        <f>IF(Bore_Diam="","",Bore_Diam)</f>
        <v>4.25</v>
      </c>
      <c r="I7" s="72" t="str">
        <f>IF(units=1,"mm","in")</f>
        <v>in</v>
      </c>
      <c r="J7" s="80"/>
      <c r="K7" s="80"/>
      <c r="L7" s="80"/>
      <c r="M7" s="80"/>
      <c r="N7" s="80"/>
      <c r="O7" s="80"/>
      <c r="P7" s="80"/>
      <c r="Q7" s="80"/>
      <c r="R7" s="80"/>
      <c r="S7" s="80"/>
      <c r="T7" s="142"/>
      <c r="U7" s="80"/>
      <c r="V7" s="80"/>
      <c r="W7" s="80"/>
      <c r="X7" s="80"/>
      <c r="Y7" s="80"/>
      <c r="Z7" s="80"/>
      <c r="AA7" s="80"/>
      <c r="AB7" s="80"/>
      <c r="AC7" s="80"/>
      <c r="AD7" s="80"/>
      <c r="AE7" s="142"/>
      <c r="AF7" s="441"/>
      <c r="AG7" s="563" t="s">
        <v>224</v>
      </c>
      <c r="AH7" s="441"/>
      <c r="AI7" s="596" t="s">
        <v>244</v>
      </c>
      <c r="AJ7" s="596"/>
      <c r="AK7" s="596"/>
      <c r="AL7" s="596" t="s">
        <v>231</v>
      </c>
      <c r="AM7" s="596"/>
      <c r="AN7" s="596"/>
    </row>
    <row r="8" spans="1:40" ht="14.25" customHeight="1" x14ac:dyDescent="0.25">
      <c r="A8" s="71"/>
      <c r="B8" s="71"/>
      <c r="C8" s="533" t="s">
        <v>439</v>
      </c>
      <c r="D8" s="70">
        <f>IF(design_gw="","",design_gw)</f>
        <v>0</v>
      </c>
      <c r="E8" s="71" t="str">
        <f>IF(units=1,"m","ft")</f>
        <v>ft</v>
      </c>
      <c r="F8" s="71"/>
      <c r="G8" s="73" t="s">
        <v>52</v>
      </c>
      <c r="H8" s="70">
        <f>IF(Rod_stickup="","",Rod_stickup)</f>
        <v>5</v>
      </c>
      <c r="I8" s="72" t="str">
        <f>IF(units=1,"m","ft")</f>
        <v>ft</v>
      </c>
      <c r="J8" s="80"/>
      <c r="K8" s="80"/>
      <c r="L8" s="80"/>
      <c r="M8" s="80"/>
      <c r="N8" s="80"/>
      <c r="O8" s="80"/>
      <c r="P8" s="80"/>
      <c r="Q8" s="80"/>
      <c r="R8" s="80"/>
      <c r="S8" s="80"/>
      <c r="T8" s="142"/>
      <c r="U8" s="80"/>
      <c r="V8" s="80"/>
      <c r="W8" s="80"/>
      <c r="X8" s="80"/>
      <c r="Y8" s="80"/>
      <c r="Z8" s="80"/>
      <c r="AA8" s="80"/>
      <c r="AB8" s="80"/>
      <c r="AC8" s="80"/>
      <c r="AD8" s="80"/>
      <c r="AE8" s="142"/>
      <c r="AF8" s="442" t="s">
        <v>99</v>
      </c>
      <c r="AG8" s="70">
        <f>IF(S_prob="","",S_prob)</f>
        <v>1.5</v>
      </c>
      <c r="AH8" s="151" t="s">
        <v>24</v>
      </c>
      <c r="AI8" s="460" t="s">
        <v>380</v>
      </c>
      <c r="AJ8" s="70">
        <f>IF(Dh_ref="","",Dh_ref)</f>
        <v>0.55000000000000004</v>
      </c>
      <c r="AK8" s="142"/>
      <c r="AL8" s="73" t="s">
        <v>41</v>
      </c>
      <c r="AM8" s="70">
        <f>IF(R_LS_det="","",R_LS_det)</f>
        <v>1.1100000000000001</v>
      </c>
      <c r="AN8" s="142"/>
    </row>
    <row r="9" spans="1:40" ht="16.5" x14ac:dyDescent="0.25">
      <c r="A9" s="142"/>
      <c r="B9" s="142"/>
      <c r="C9" s="142"/>
      <c r="D9" s="142"/>
      <c r="E9" s="142"/>
      <c r="F9" s="142"/>
      <c r="G9" s="142"/>
      <c r="H9" s="142"/>
      <c r="I9" s="142"/>
      <c r="J9" s="80"/>
      <c r="K9" s="80"/>
      <c r="L9" s="80"/>
      <c r="M9" s="80"/>
      <c r="N9" s="80"/>
      <c r="O9" s="80"/>
      <c r="P9" s="80"/>
      <c r="Q9" s="80"/>
      <c r="R9" s="80"/>
      <c r="S9" s="142"/>
      <c r="T9" s="142"/>
      <c r="U9" s="80"/>
      <c r="V9" s="80"/>
      <c r="W9" s="80"/>
      <c r="X9" s="80"/>
      <c r="Y9" s="80"/>
      <c r="Z9" s="80"/>
      <c r="AA9" s="80"/>
      <c r="AB9" s="80"/>
      <c r="AC9" s="80"/>
      <c r="AD9" s="142"/>
      <c r="AE9" s="142"/>
      <c r="AF9" s="442" t="s">
        <v>101</v>
      </c>
      <c r="AG9" s="70">
        <f>IF(W_prob="","",W_prob)</f>
        <v>16</v>
      </c>
      <c r="AH9" s="151" t="s">
        <v>24</v>
      </c>
      <c r="AI9" s="69" t="s">
        <v>97</v>
      </c>
      <c r="AJ9" s="70">
        <f>IF(Tr="","",Tr)</f>
        <v>2475</v>
      </c>
      <c r="AK9" s="142" t="s">
        <v>304</v>
      </c>
      <c r="AL9" s="148" t="s">
        <v>93</v>
      </c>
      <c r="AM9" s="70">
        <f>IF(Mw_LS_det="","",Mw_LS_det)</f>
        <v>7</v>
      </c>
      <c r="AN9" s="142"/>
    </row>
    <row r="10" spans="1:40" ht="18.75" customHeight="1" x14ac:dyDescent="0.3">
      <c r="A10" s="146" t="str">
        <f>IF(units=1,"Depth (m)", "Depth (ft)")</f>
        <v>Depth (ft)</v>
      </c>
      <c r="B10" s="147" t="s">
        <v>440</v>
      </c>
      <c r="C10" s="558" t="s">
        <v>225</v>
      </c>
      <c r="D10" s="147" t="str">
        <f>IF(units=1,"γ (kN/m^3)","γ (lb/ft^3)")</f>
        <v>γ (lb/ft^3)</v>
      </c>
      <c r="E10" s="147" t="s">
        <v>11</v>
      </c>
      <c r="F10" s="554" t="str">
        <f>IF(units=1,"Thickness (m)","Thickness (ft)")</f>
        <v>Thickness (ft)</v>
      </c>
      <c r="G10" s="269" t="s">
        <v>230</v>
      </c>
      <c r="H10" s="147" t="s">
        <v>226</v>
      </c>
      <c r="I10" s="555" t="s">
        <v>234</v>
      </c>
      <c r="J10" s="80"/>
      <c r="K10" s="80"/>
      <c r="L10" s="80"/>
      <c r="M10" s="80"/>
      <c r="N10" s="80"/>
      <c r="O10" s="80"/>
      <c r="P10" s="80"/>
      <c r="Q10" s="80"/>
      <c r="R10" s="80"/>
      <c r="S10" s="142"/>
      <c r="T10" s="142"/>
      <c r="U10" s="80"/>
      <c r="V10" s="80"/>
      <c r="W10" s="80"/>
      <c r="X10" s="80"/>
      <c r="Y10" s="80"/>
      <c r="Z10" s="80"/>
      <c r="AA10" s="80"/>
      <c r="AB10" s="80"/>
      <c r="AC10" s="80"/>
      <c r="AD10" s="142"/>
      <c r="AE10" s="142"/>
      <c r="AF10" s="442" t="s">
        <v>127</v>
      </c>
      <c r="AG10" s="70">
        <f>IF(T15_prob="","",T15_prob)</f>
        <v>10</v>
      </c>
      <c r="AH10" s="151" t="str">
        <f>IF(units=1,"m","ft")</f>
        <v>ft</v>
      </c>
      <c r="AI10" s="142"/>
      <c r="AJ10" s="142"/>
      <c r="AK10" s="142"/>
      <c r="AL10" s="73" t="s">
        <v>40</v>
      </c>
      <c r="AM10" s="70">
        <f>IF(Percentile_LS="","",Percentile_LS)</f>
        <v>85</v>
      </c>
      <c r="AN10" s="142"/>
    </row>
    <row r="11" spans="1:40" ht="14.25" customHeight="1" x14ac:dyDescent="0.3">
      <c r="A11" s="277">
        <f>IF(Inputs!B13="","",Inputs!B13)</f>
        <v>1.5</v>
      </c>
      <c r="B11" s="280">
        <f>IF(Inputs!C13="","",Inputs!C13)</f>
        <v>20</v>
      </c>
      <c r="C11" s="556" t="str">
        <f>IF(Inputs!D13="","",IF(Inputs!D13="Standard SS (2-in OD)","Standard",IF(Inputs!D13="Non-Standard (3-in OD)", "3-in OD",IF(Inputs!D13="Non-Standard (2.5-in OD)","2.5-in OD",IF(Inputs!D13="D&amp;M SS (3.25-in OD)","3.25-in OD","Custom")))))</f>
        <v>Standard</v>
      </c>
      <c r="D11" s="281">
        <f>IF(Inputs!E13="","",Inputs!E13)</f>
        <v>124.3</v>
      </c>
      <c r="E11" s="281">
        <f>IF(Inputs!F13="","",Inputs!F13)</f>
        <v>10</v>
      </c>
      <c r="F11" s="247">
        <f>IF(Inputs!G13="","",Inputs!G13)</f>
        <v>3</v>
      </c>
      <c r="G11" s="566" t="str">
        <f>IF(Inputs!H13="","",Inputs!H13)</f>
        <v/>
      </c>
      <c r="H11" s="569" t="str">
        <f>IF(Inputs!I13="","",Inputs!I13)</f>
        <v>Granular Fill</v>
      </c>
      <c r="I11" s="567" t="str">
        <f>IF(Inputs!J13="","",Inputs!J13)</f>
        <v>Yes</v>
      </c>
      <c r="J11" s="80"/>
      <c r="K11" s="80"/>
      <c r="L11" s="80"/>
      <c r="M11" s="80"/>
      <c r="N11" s="80"/>
      <c r="O11" s="80"/>
      <c r="P11" s="80"/>
      <c r="Q11" s="80"/>
      <c r="R11" s="80"/>
      <c r="S11" s="142"/>
      <c r="T11" s="142"/>
      <c r="U11" s="80"/>
      <c r="V11" s="80"/>
      <c r="W11" s="80"/>
      <c r="X11" s="80"/>
      <c r="Y11" s="80"/>
      <c r="Z11" s="80"/>
      <c r="AA11" s="80"/>
      <c r="AB11" s="80"/>
      <c r="AC11" s="80"/>
      <c r="AD11" s="142"/>
      <c r="AE11" s="142"/>
      <c r="AF11" s="442" t="s">
        <v>128</v>
      </c>
      <c r="AG11" s="70">
        <f>IF(F15_prob="","",F15_prob)</f>
        <v>11</v>
      </c>
      <c r="AH11" s="151" t="s">
        <v>24</v>
      </c>
      <c r="AI11" s="142"/>
      <c r="AJ11" s="142"/>
      <c r="AK11" s="142"/>
      <c r="AL11" s="72"/>
      <c r="AM11" s="72"/>
      <c r="AN11" s="142"/>
    </row>
    <row r="12" spans="1:40" ht="14.25" customHeight="1" x14ac:dyDescent="0.3">
      <c r="A12" s="257">
        <f>IF(Inputs!B14="","",Inputs!B14)</f>
        <v>5.5</v>
      </c>
      <c r="B12" s="282">
        <f>IF(Inputs!C14="","",Inputs!C14)</f>
        <v>14</v>
      </c>
      <c r="C12" s="556" t="str">
        <f>IF(Inputs!D14="","",IF(Inputs!D14="Standard SS (2-in OD)","Standard",IF(Inputs!D14="Non-Standard (3-in OD)", "3-in OD",IF(Inputs!D14="Non-Standard (2.5-in OD)","2.5-in OD",IF(Inputs!D14="D&amp;M SS (3.25-in OD)","3.25-in OD","Custom")))))</f>
        <v>3-in OD</v>
      </c>
      <c r="D12" s="283">
        <f>IF(Inputs!E14="","",Inputs!E14)</f>
        <v>124.3</v>
      </c>
      <c r="E12" s="283">
        <f>IF(Inputs!F14="","",Inputs!F14)</f>
        <v>10</v>
      </c>
      <c r="F12" s="254">
        <f>IF(Inputs!G14="","",Inputs!G14)</f>
        <v>5</v>
      </c>
      <c r="G12" s="284" t="str">
        <f>IF(Inputs!H14="","",Inputs!H14)</f>
        <v/>
      </c>
      <c r="H12" s="570" t="str">
        <f>IF(Inputs!I14="","",Inputs!I14)</f>
        <v>[SM]_Silty_sand</v>
      </c>
      <c r="I12" s="278" t="str">
        <f>IF(Inputs!J14="","",Inputs!J14)</f>
        <v>Yes</v>
      </c>
      <c r="J12" s="80"/>
      <c r="K12" s="80"/>
      <c r="L12" s="80"/>
      <c r="M12" s="80"/>
      <c r="N12" s="80"/>
      <c r="O12" s="80"/>
      <c r="P12" s="80"/>
      <c r="Q12" s="80"/>
      <c r="R12" s="80"/>
      <c r="S12" s="142"/>
      <c r="T12" s="142"/>
      <c r="U12" s="80"/>
      <c r="V12" s="80"/>
      <c r="W12" s="80"/>
      <c r="X12" s="80"/>
      <c r="Y12" s="80"/>
      <c r="Z12" s="80"/>
      <c r="AA12" s="80"/>
      <c r="AB12" s="80"/>
      <c r="AC12" s="80"/>
      <c r="AD12" s="142"/>
      <c r="AE12" s="142"/>
      <c r="AF12" s="442" t="s">
        <v>129</v>
      </c>
      <c r="AG12" s="70">
        <f>IF(D50_prob="","",D50_prob)</f>
        <v>5</v>
      </c>
      <c r="AH12" s="151" t="s">
        <v>76</v>
      </c>
      <c r="AI12" s="142"/>
      <c r="AJ12" s="142"/>
      <c r="AK12" s="142"/>
      <c r="AL12" s="142"/>
      <c r="AM12" s="142"/>
      <c r="AN12" s="142"/>
    </row>
    <row r="13" spans="1:40" ht="14.25" customHeight="1" x14ac:dyDescent="0.25">
      <c r="A13" s="257">
        <f>IF(Inputs!B15="","",Inputs!B15)</f>
        <v>10.5</v>
      </c>
      <c r="B13" s="282">
        <f>IF(Inputs!C15="","",Inputs!C15)</f>
        <v>12</v>
      </c>
      <c r="C13" s="556" t="str">
        <f>IF(Inputs!D15="","",IF(Inputs!D15="Standard SS (2-in OD)","Standard",IF(Inputs!D15="Non-Standard (3-in OD)", "3-in OD",IF(Inputs!D15="Non-Standard (2.5-in OD)","2.5-in OD",IF(Inputs!D15="D&amp;M SS (3.25-in OD)","3.25-in OD","Custom")))))</f>
        <v>2.5-in OD</v>
      </c>
      <c r="D13" s="283">
        <f>IF(Inputs!E15="","",Inputs!E15)</f>
        <v>124.3</v>
      </c>
      <c r="E13" s="283">
        <f>IF(Inputs!F15="","",Inputs!F15)</f>
        <v>10</v>
      </c>
      <c r="F13" s="254">
        <f>IF(Inputs!G15="","",Inputs!G15)</f>
        <v>5</v>
      </c>
      <c r="G13" s="284" t="str">
        <f>IF(Inputs!H15="","",Inputs!H15)</f>
        <v/>
      </c>
      <c r="H13" s="570" t="str">
        <f>IF(Inputs!I15="","",Inputs!I15)</f>
        <v>[SM]_Silty_sand</v>
      </c>
      <c r="I13" s="278" t="str">
        <f>IF(Inputs!J15="","",Inputs!J15)</f>
        <v>Yes</v>
      </c>
      <c r="J13" s="80"/>
      <c r="K13" s="80"/>
      <c r="L13" s="80"/>
      <c r="M13" s="80"/>
      <c r="N13" s="80"/>
      <c r="O13" s="80"/>
      <c r="P13" s="80"/>
      <c r="Q13" s="80"/>
      <c r="R13" s="80"/>
      <c r="S13" s="142"/>
      <c r="T13" s="142"/>
      <c r="U13" s="80"/>
      <c r="V13" s="80"/>
      <c r="W13" s="80"/>
      <c r="X13" s="80"/>
      <c r="Y13" s="80"/>
      <c r="Z13" s="80"/>
      <c r="AA13" s="80"/>
      <c r="AB13" s="80"/>
      <c r="AC13" s="80"/>
      <c r="AD13" s="142"/>
      <c r="AE13" s="142"/>
      <c r="AF13" s="142"/>
      <c r="AG13" s="142"/>
      <c r="AH13" s="142"/>
      <c r="AI13" s="142"/>
      <c r="AJ13" s="142"/>
      <c r="AK13" s="142"/>
      <c r="AL13" s="142"/>
      <c r="AM13" s="142"/>
      <c r="AN13" s="142"/>
    </row>
    <row r="14" spans="1:40" ht="14.25" customHeight="1" x14ac:dyDescent="0.25">
      <c r="A14" s="257">
        <f>IF(Inputs!B16="","",Inputs!B16)</f>
        <v>15</v>
      </c>
      <c r="B14" s="282">
        <f>IF(Inputs!C16="","",Inputs!C16)</f>
        <v>3</v>
      </c>
      <c r="C14" s="556" t="str">
        <f>IF(Inputs!D16="","",IF(Inputs!D16="Standard SS (2-in OD)","Standard",IF(Inputs!D16="Non-Standard (3-in OD)", "3-in OD",IF(Inputs!D16="Non-Standard (2.5-in OD)","2.5-in OD",IF(Inputs!D16="D&amp;M SS (3.25-in OD)","3.25-in OD","Custom")))))</f>
        <v>3.25-in OD</v>
      </c>
      <c r="D14" s="283">
        <f>IF(Inputs!E16="","",Inputs!E16)</f>
        <v>124.3</v>
      </c>
      <c r="E14" s="283">
        <f>IF(Inputs!F16="","",Inputs!F16)</f>
        <v>60</v>
      </c>
      <c r="F14" s="254">
        <f>IF(Inputs!G16="","",Inputs!G16)</f>
        <v>4</v>
      </c>
      <c r="G14" s="284" t="str">
        <f>IF(Inputs!H16="","",Inputs!H16)</f>
        <v/>
      </c>
      <c r="H14" s="570" t="str">
        <f>IF(Inputs!I16="","",Inputs!I16)</f>
        <v>[CL]_Clay</v>
      </c>
      <c r="I14" s="278" t="str">
        <f>IF(Inputs!J16="","",Inputs!J16)</f>
        <v>No</v>
      </c>
      <c r="J14" s="80"/>
      <c r="K14" s="80"/>
      <c r="L14" s="80"/>
      <c r="M14" s="80"/>
      <c r="N14" s="80"/>
      <c r="O14" s="80"/>
      <c r="P14" s="80"/>
      <c r="Q14" s="80"/>
      <c r="R14" s="80"/>
      <c r="S14" s="142"/>
      <c r="T14" s="142"/>
      <c r="U14" s="80"/>
      <c r="V14" s="80"/>
      <c r="W14" s="80"/>
      <c r="X14" s="80"/>
      <c r="Y14" s="80"/>
      <c r="Z14" s="80"/>
      <c r="AA14" s="80"/>
      <c r="AB14" s="80"/>
      <c r="AC14" s="80"/>
      <c r="AD14" s="142"/>
      <c r="AE14" s="142"/>
      <c r="AF14" s="142"/>
      <c r="AG14" s="142"/>
      <c r="AH14" s="142"/>
      <c r="AI14" s="142"/>
      <c r="AJ14" s="142"/>
      <c r="AK14" s="142"/>
      <c r="AL14" s="142"/>
      <c r="AM14" s="142"/>
      <c r="AN14" s="443"/>
    </row>
    <row r="15" spans="1:40" ht="14.25" customHeight="1" x14ac:dyDescent="0.25">
      <c r="A15" s="257">
        <f>IF(Inputs!B17="","",Inputs!B17)</f>
        <v>20.5</v>
      </c>
      <c r="B15" s="282">
        <f>IF(Inputs!C17="","",Inputs!C17)</f>
        <v>27</v>
      </c>
      <c r="C15" s="556" t="str">
        <f>IF(Inputs!D17="","",IF(Inputs!D17="Standard SS (2-in OD)","Standard",IF(Inputs!D17="Non-Standard (3-in OD)", "3-in OD",IF(Inputs!D17="Non-Standard (2.5-in OD)","2.5-in OD",IF(Inputs!D17="D&amp;M SS (3.25-in OD)","3.25-in OD","Custom")))))</f>
        <v>Custom</v>
      </c>
      <c r="D15" s="283">
        <f>IF(Inputs!E17="","",Inputs!E17)</f>
        <v>124.3</v>
      </c>
      <c r="E15" s="283">
        <f>IF(Inputs!F17="","",Inputs!F17)</f>
        <v>10</v>
      </c>
      <c r="F15" s="254">
        <f>IF(Inputs!G17="","",Inputs!G17)</f>
        <v>7</v>
      </c>
      <c r="G15" s="284" t="str">
        <f>IF(Inputs!H17="","",Inputs!H17)</f>
        <v/>
      </c>
      <c r="H15" s="570" t="str">
        <f>IF(Inputs!I17="","",Inputs!I17)</f>
        <v>[SM]_Silty_sand</v>
      </c>
      <c r="I15" s="278" t="str">
        <f>IF(Inputs!J17="","",Inputs!J17)</f>
        <v>Yes</v>
      </c>
      <c r="J15" s="145"/>
      <c r="K15" s="80"/>
      <c r="L15" s="80"/>
      <c r="M15" s="80"/>
      <c r="N15" s="80"/>
      <c r="O15" s="80"/>
      <c r="P15" s="80"/>
      <c r="Q15" s="80"/>
      <c r="R15" s="80"/>
      <c r="S15" s="142"/>
      <c r="T15" s="142"/>
      <c r="U15" s="145"/>
      <c r="V15" s="80"/>
      <c r="W15" s="80"/>
      <c r="X15" s="80"/>
      <c r="Y15" s="80"/>
      <c r="Z15" s="80"/>
      <c r="AA15" s="80"/>
      <c r="AB15" s="80"/>
      <c r="AC15" s="80"/>
      <c r="AD15" s="142"/>
      <c r="AE15" s="142"/>
      <c r="AF15" s="444" t="s">
        <v>130</v>
      </c>
      <c r="AG15" s="445"/>
      <c r="AH15" s="445"/>
      <c r="AI15" s="445"/>
      <c r="AJ15" s="445"/>
      <c r="AK15" s="445"/>
      <c r="AL15" s="445"/>
      <c r="AM15" s="445"/>
      <c r="AN15" s="443"/>
    </row>
    <row r="16" spans="1:40" ht="14.25" customHeight="1" x14ac:dyDescent="0.25">
      <c r="A16" s="257">
        <f>IF(Inputs!B18="","",Inputs!B18)</f>
        <v>25.5</v>
      </c>
      <c r="B16" s="282">
        <f>IF(Inputs!C18="","",Inputs!C18)</f>
        <v>22</v>
      </c>
      <c r="C16" s="556" t="str">
        <f>IF(Inputs!D18="","",IF(Inputs!D18="Standard SS (2-in OD)","Standard",IF(Inputs!D18="Non-Standard (3-in OD)", "3-in OD",IF(Inputs!D18="Non-Standard (2.5-in OD)","2.5-in OD",IF(Inputs!D18="D&amp;M SS (3.25-in OD)","3.25-in OD","Custom")))))</f>
        <v>Standard</v>
      </c>
      <c r="D16" s="283">
        <f>IF(Inputs!E18="","",Inputs!E18)</f>
        <v>124.3</v>
      </c>
      <c r="E16" s="283">
        <f>IF(Inputs!F18="","",Inputs!F18)</f>
        <v>10</v>
      </c>
      <c r="F16" s="254">
        <f>IF(Inputs!G18="","",Inputs!G18)</f>
        <v>3</v>
      </c>
      <c r="G16" s="284" t="str">
        <f>IF(Inputs!H18="","",Inputs!H18)</f>
        <v/>
      </c>
      <c r="H16" s="570" t="str">
        <f>IF(Inputs!I18="","",Inputs!I18)</f>
        <v>[SM]_Silty_sand</v>
      </c>
      <c r="I16" s="278" t="str">
        <f>IF(Inputs!J18="","",Inputs!J18)</f>
        <v>Yes</v>
      </c>
      <c r="J16" s="145"/>
      <c r="K16" s="80"/>
      <c r="L16" s="80"/>
      <c r="M16" s="80"/>
      <c r="N16" s="80"/>
      <c r="O16" s="80"/>
      <c r="P16" s="80"/>
      <c r="Q16" s="80"/>
      <c r="R16" s="80"/>
      <c r="S16" s="142"/>
      <c r="T16" s="142"/>
      <c r="U16" s="145"/>
      <c r="V16" s="80"/>
      <c r="W16" s="80"/>
      <c r="X16" s="80"/>
      <c r="Y16" s="80"/>
      <c r="Z16" s="80"/>
      <c r="AA16" s="80"/>
      <c r="AB16" s="80"/>
      <c r="AC16" s="80"/>
      <c r="AD16" s="142"/>
      <c r="AE16" s="142"/>
      <c r="AF16" s="445"/>
      <c r="AG16" s="445"/>
      <c r="AH16" s="445"/>
      <c r="AI16" s="445"/>
      <c r="AJ16" s="445"/>
      <c r="AK16" s="445"/>
      <c r="AL16" s="445"/>
      <c r="AM16" s="443"/>
      <c r="AN16" s="443"/>
    </row>
    <row r="17" spans="1:40" ht="14.25" customHeight="1" x14ac:dyDescent="0.25">
      <c r="A17" s="257">
        <f>IF(Inputs!B19="","",Inputs!B19)</f>
        <v>30.5</v>
      </c>
      <c r="B17" s="282">
        <f>IF(Inputs!C19="","",Inputs!C19)</f>
        <v>16</v>
      </c>
      <c r="C17" s="556" t="str">
        <f>IF(Inputs!D19="","",IF(Inputs!D19="Standard SS (2-in OD)","Standard",IF(Inputs!D19="Non-Standard (3-in OD)", "3-in OD",IF(Inputs!D19="Non-Standard (2.5-in OD)","2.5-in OD",IF(Inputs!D19="D&amp;M SS (3.25-in OD)","3.25-in OD","Custom")))))</f>
        <v>Standard</v>
      </c>
      <c r="D17" s="283">
        <f>IF(Inputs!E19="","",Inputs!E19)</f>
        <v>124.3</v>
      </c>
      <c r="E17" s="283">
        <f>IF(Inputs!F19="","",Inputs!F19)</f>
        <v>10</v>
      </c>
      <c r="F17" s="254">
        <f>IF(Inputs!G19="","",Inputs!G19)</f>
        <v>7</v>
      </c>
      <c r="G17" s="284" t="str">
        <f>IF(Inputs!H19="","",Inputs!H19)</f>
        <v/>
      </c>
      <c r="H17" s="570" t="str">
        <f>IF(Inputs!I19="","",Inputs!I19)</f>
        <v>[SM]_Silty_sand</v>
      </c>
      <c r="I17" s="278" t="str">
        <f>IF(Inputs!J19="","",Inputs!J19)</f>
        <v>Yes</v>
      </c>
      <c r="J17" s="145"/>
      <c r="K17" s="80"/>
      <c r="L17" s="80"/>
      <c r="M17" s="80"/>
      <c r="N17" s="80"/>
      <c r="O17" s="80"/>
      <c r="P17" s="80"/>
      <c r="Q17" s="80"/>
      <c r="R17" s="80"/>
      <c r="S17" s="142"/>
      <c r="T17" s="142"/>
      <c r="U17" s="145"/>
      <c r="V17" s="80"/>
      <c r="W17" s="80"/>
      <c r="X17" s="80"/>
      <c r="Y17" s="80"/>
      <c r="Z17" s="80"/>
      <c r="AA17" s="80"/>
      <c r="AB17" s="80"/>
      <c r="AC17" s="80"/>
      <c r="AD17" s="142"/>
      <c r="AE17" s="142"/>
      <c r="AF17" s="592" t="s">
        <v>232</v>
      </c>
      <c r="AG17" s="593"/>
      <c r="AH17" s="593"/>
      <c r="AI17" s="446"/>
      <c r="AJ17" s="593" t="s">
        <v>233</v>
      </c>
      <c r="AK17" s="593"/>
      <c r="AL17" s="593"/>
      <c r="AM17" s="446"/>
      <c r="AN17" s="447"/>
    </row>
    <row r="18" spans="1:40" ht="14.25" customHeight="1" thickBot="1" x14ac:dyDescent="0.3">
      <c r="A18" s="257">
        <f>IF(Inputs!B20="","",Inputs!B20)</f>
        <v>35.5</v>
      </c>
      <c r="B18" s="282">
        <f>IF(Inputs!C20="","",Inputs!C20)</f>
        <v>13</v>
      </c>
      <c r="C18" s="556" t="str">
        <f>IF(Inputs!D20="","",IF(Inputs!D20="Standard SS (2-in OD)","Standard",IF(Inputs!D20="Non-Standard (3-in OD)", "3-in OD",IF(Inputs!D20="Non-Standard (2.5-in OD)","2.5-in OD",IF(Inputs!D20="D&amp;M SS (3.25-in OD)","3.25-in OD","Custom")))))</f>
        <v>Custom</v>
      </c>
      <c r="D18" s="283">
        <f>IF(Inputs!E20="","",Inputs!E20)</f>
        <v>124.3</v>
      </c>
      <c r="E18" s="283">
        <f>IF(Inputs!F20="","",Inputs!F20)</f>
        <v>10</v>
      </c>
      <c r="F18" s="254">
        <f>IF(Inputs!G20="","",Inputs!G20)</f>
        <v>3</v>
      </c>
      <c r="G18" s="284" t="str">
        <f>IF(Inputs!H20="","",Inputs!H20)</f>
        <v/>
      </c>
      <c r="H18" s="570" t="str">
        <f>IF(Inputs!I20="","",Inputs!I20)</f>
        <v>[SM]_Silty_sand</v>
      </c>
      <c r="I18" s="278" t="str">
        <f>IF(Inputs!J20="","",Inputs!J20)</f>
        <v>Yes</v>
      </c>
      <c r="J18" s="145"/>
      <c r="K18" s="80"/>
      <c r="L18" s="80"/>
      <c r="M18" s="80"/>
      <c r="N18" s="80"/>
      <c r="O18" s="80"/>
      <c r="P18" s="80"/>
      <c r="Q18" s="80"/>
      <c r="R18" s="80"/>
      <c r="S18" s="142"/>
      <c r="T18" s="142"/>
      <c r="U18" s="145"/>
      <c r="V18" s="80"/>
      <c r="W18" s="80"/>
      <c r="X18" s="80"/>
      <c r="Y18" s="80"/>
      <c r="Z18" s="80"/>
      <c r="AA18" s="80"/>
      <c r="AB18" s="80"/>
      <c r="AC18" s="80"/>
      <c r="AD18" s="142"/>
      <c r="AE18" s="142"/>
      <c r="AF18" s="594"/>
      <c r="AG18" s="595"/>
      <c r="AH18" s="595"/>
      <c r="AI18" s="562"/>
      <c r="AJ18" s="595"/>
      <c r="AK18" s="595"/>
      <c r="AL18" s="595"/>
      <c r="AM18" s="562"/>
      <c r="AN18" s="448"/>
    </row>
    <row r="19" spans="1:40" ht="17.25" customHeight="1" x14ac:dyDescent="0.25">
      <c r="A19" s="257">
        <f>IF(Inputs!B21="","",Inputs!B21)</f>
        <v>41</v>
      </c>
      <c r="B19" s="282">
        <f>IF(Inputs!C21="","",Inputs!C21)</f>
        <v>3</v>
      </c>
      <c r="C19" s="556" t="str">
        <f>IF(Inputs!D21="","",IF(Inputs!D21="Standard SS (2-in OD)","Standard",IF(Inputs!D21="Non-Standard (3-in OD)", "3-in OD",IF(Inputs!D21="Non-Standard (2.5-in OD)","2.5-in OD",IF(Inputs!D21="D&amp;M SS (3.25-in OD)","3.25-in OD","Custom")))))</f>
        <v>Custom</v>
      </c>
      <c r="D19" s="283">
        <f>IF(Inputs!E21="","",Inputs!E21)</f>
        <v>124.3</v>
      </c>
      <c r="E19" s="283">
        <f>IF(Inputs!F21="","",Inputs!F21)</f>
        <v>70</v>
      </c>
      <c r="F19" s="254">
        <f>IF(Inputs!G21="","",Inputs!G21)</f>
        <v>8</v>
      </c>
      <c r="G19" s="284" t="str">
        <f>IF(Inputs!H21="","",Inputs!H21)</f>
        <v/>
      </c>
      <c r="H19" s="570" t="str">
        <f>IF(Inputs!I21="","",Inputs!I21)</f>
        <v>[CL]_Clay</v>
      </c>
      <c r="I19" s="278" t="str">
        <f>IF(Inputs!J21="","",Inputs!J21)</f>
        <v>No</v>
      </c>
      <c r="J19" s="145"/>
      <c r="K19" s="80"/>
      <c r="L19" s="80"/>
      <c r="M19" s="80"/>
      <c r="N19" s="80"/>
      <c r="O19" s="80"/>
      <c r="P19" s="80"/>
      <c r="Q19" s="80"/>
      <c r="R19" s="80"/>
      <c r="S19" s="142"/>
      <c r="T19" s="142"/>
      <c r="U19" s="145"/>
      <c r="V19" s="80"/>
      <c r="W19" s="80"/>
      <c r="X19" s="80"/>
      <c r="Y19" s="80"/>
      <c r="Z19" s="80"/>
      <c r="AA19" s="80"/>
      <c r="AB19" s="80"/>
      <c r="AC19" s="80"/>
      <c r="AD19" s="142"/>
      <c r="AE19" s="142"/>
      <c r="AF19" s="449"/>
      <c r="AG19" s="604" t="s">
        <v>126</v>
      </c>
      <c r="AH19" s="602">
        <f>IF(Simp_LS_Option=TRUE,IF(units=2,CONVERT('Lateral Spread'!C25,"m","ft"),'Lateral Spread'!C25),NA())</f>
        <v>2.0305882241243816</v>
      </c>
      <c r="AI19" s="591" t="str">
        <f>IF(units=1,"m","ft")</f>
        <v>ft</v>
      </c>
      <c r="AJ19" s="443"/>
      <c r="AK19" s="605" t="s">
        <v>247</v>
      </c>
      <c r="AL19" s="602">
        <f>IF(Det_LS_option=TRUE,IF(units=2,CONVERT('Lateral Spread'!G25,"m","ft"),'Lateral Spread'!G25),NA())</f>
        <v>4.4327592429895875</v>
      </c>
      <c r="AM19" s="591" t="str">
        <f>IF(units=1,"m","ft")</f>
        <v>ft</v>
      </c>
      <c r="AN19" s="448"/>
    </row>
    <row r="20" spans="1:40" ht="14.25" customHeight="1" thickBot="1" x14ac:dyDescent="0.3">
      <c r="A20" s="257">
        <f>IF(Inputs!B22="","",Inputs!B22)</f>
        <v>45</v>
      </c>
      <c r="B20" s="282">
        <f>IF(Inputs!C22="","",Inputs!C22)</f>
        <v>3</v>
      </c>
      <c r="C20" s="556" t="str">
        <f>IF(Inputs!D22="","",IF(Inputs!D22="Standard SS (2-in OD)","Standard",IF(Inputs!D22="Non-Standard (3-in OD)", "3-in OD",IF(Inputs!D22="Non-Standard (2.5-in OD)","2.5-in OD",IF(Inputs!D22="D&amp;M SS (3.25-in OD)","3.25-in OD","Custom")))))</f>
        <v>Custom</v>
      </c>
      <c r="D20" s="283">
        <f>IF(Inputs!E22="","",Inputs!E22)</f>
        <v>124.3</v>
      </c>
      <c r="E20" s="283">
        <f>IF(Inputs!F22="","",Inputs!F22)</f>
        <v>5</v>
      </c>
      <c r="F20" s="254">
        <f>IF(Inputs!G22="","",Inputs!G22)</f>
        <v>3</v>
      </c>
      <c r="G20" s="284" t="str">
        <f>IF(Inputs!H22="","",Inputs!H22)</f>
        <v/>
      </c>
      <c r="H20" s="570" t="str">
        <f>IF(Inputs!I22="","",Inputs!I22)</f>
        <v>[SM]_Silty_sand</v>
      </c>
      <c r="I20" s="278" t="str">
        <f>IF(Inputs!J22="","",Inputs!J22)</f>
        <v>Yes</v>
      </c>
      <c r="J20" s="80"/>
      <c r="K20" s="80"/>
      <c r="L20" s="80"/>
      <c r="M20" s="80"/>
      <c r="N20" s="80"/>
      <c r="O20" s="80"/>
      <c r="P20" s="80"/>
      <c r="Q20" s="80"/>
      <c r="R20" s="80"/>
      <c r="S20" s="142"/>
      <c r="T20" s="142"/>
      <c r="U20" s="80"/>
      <c r="V20" s="80"/>
      <c r="W20" s="80"/>
      <c r="X20" s="80"/>
      <c r="Y20" s="80"/>
      <c r="Z20" s="80"/>
      <c r="AA20" s="80"/>
      <c r="AB20" s="80"/>
      <c r="AC20" s="80"/>
      <c r="AD20" s="142"/>
      <c r="AE20" s="142"/>
      <c r="AF20" s="449"/>
      <c r="AG20" s="604"/>
      <c r="AH20" s="603"/>
      <c r="AI20" s="591"/>
      <c r="AJ20" s="450"/>
      <c r="AK20" s="605"/>
      <c r="AL20" s="603"/>
      <c r="AM20" s="591"/>
      <c r="AN20" s="448"/>
    </row>
    <row r="21" spans="1:40" ht="14.25" customHeight="1" x14ac:dyDescent="0.25">
      <c r="A21" s="257">
        <f>IF(Inputs!B23="","",Inputs!B23)</f>
        <v>51.5</v>
      </c>
      <c r="B21" s="282">
        <f>IF(Inputs!C23="","",Inputs!C23)</f>
        <v>18</v>
      </c>
      <c r="C21" s="556" t="str">
        <f>IF(Inputs!D23="","",IF(Inputs!D23="Standard SS (2-in OD)","Standard",IF(Inputs!D23="Non-Standard (3-in OD)", "3-in OD",IF(Inputs!D23="Non-Standard (2.5-in OD)","2.5-in OD",IF(Inputs!D23="D&amp;M SS (3.25-in OD)","3.25-in OD","Custom")))))</f>
        <v>Custom</v>
      </c>
      <c r="D21" s="283">
        <f>IF(Inputs!E23="","",Inputs!E23)</f>
        <v>124.3</v>
      </c>
      <c r="E21" s="283">
        <f>IF(Inputs!F23="","",Inputs!F23)</f>
        <v>5</v>
      </c>
      <c r="F21" s="254">
        <f>IF(Inputs!G23="","",Inputs!G23)</f>
        <v>7</v>
      </c>
      <c r="G21" s="284" t="str">
        <f>IF(Inputs!H23="","",Inputs!H23)</f>
        <v/>
      </c>
      <c r="H21" s="570" t="str">
        <f>IF(Inputs!I23="","",Inputs!I23)</f>
        <v>[SM]_Silty_sand</v>
      </c>
      <c r="I21" s="278" t="str">
        <f>IF(Inputs!J23="","",Inputs!J23)</f>
        <v>Yes</v>
      </c>
      <c r="J21" s="80"/>
      <c r="K21" s="80"/>
      <c r="L21" s="80"/>
      <c r="M21" s="80"/>
      <c r="N21" s="80"/>
      <c r="O21" s="80"/>
      <c r="P21" s="80"/>
      <c r="Q21" s="80"/>
      <c r="R21" s="80"/>
      <c r="S21" s="142"/>
      <c r="T21" s="142"/>
      <c r="U21" s="80"/>
      <c r="V21" s="80"/>
      <c r="W21" s="80"/>
      <c r="X21" s="80"/>
      <c r="Y21" s="80"/>
      <c r="Z21" s="80"/>
      <c r="AA21" s="80"/>
      <c r="AB21" s="80"/>
      <c r="AC21" s="80"/>
      <c r="AD21" s="142"/>
      <c r="AE21" s="142"/>
      <c r="AF21" s="451"/>
      <c r="AG21" s="452"/>
      <c r="AH21" s="452"/>
      <c r="AI21" s="452"/>
      <c r="AJ21" s="452"/>
      <c r="AK21" s="452"/>
      <c r="AL21" s="452"/>
      <c r="AM21" s="452"/>
      <c r="AN21" s="453"/>
    </row>
    <row r="22" spans="1:40" ht="14.25" customHeight="1" x14ac:dyDescent="0.25">
      <c r="A22" s="257">
        <f>IF(Inputs!B24="","",Inputs!B24)</f>
        <v>57</v>
      </c>
      <c r="B22" s="282">
        <f>IF(Inputs!C24="","",Inputs!C24)</f>
        <v>5</v>
      </c>
      <c r="C22" s="556" t="str">
        <f>IF(Inputs!D24="","",IF(Inputs!D24="Standard SS (2-in OD)","Standard",IF(Inputs!D24="Non-Standard (3-in OD)", "3-in OD",IF(Inputs!D24="Non-Standard (2.5-in OD)","2.5-in OD",IF(Inputs!D24="D&amp;M SS (3.25-in OD)","3.25-in OD","Custom")))))</f>
        <v>Custom</v>
      </c>
      <c r="D22" s="283">
        <f>IF(Inputs!E24="","",Inputs!E24)</f>
        <v>124.3</v>
      </c>
      <c r="E22" s="283">
        <f>IF(Inputs!F24="","",Inputs!F24)</f>
        <v>5</v>
      </c>
      <c r="F22" s="254">
        <f>IF(Inputs!G24="","",Inputs!G24)</f>
        <v>4</v>
      </c>
      <c r="G22" s="284" t="str">
        <f>IF(Inputs!H24="","",Inputs!H24)</f>
        <v/>
      </c>
      <c r="H22" s="570" t="str">
        <f>IF(Inputs!I24="","",Inputs!I24)</f>
        <v>[SM]_Silty_sand</v>
      </c>
      <c r="I22" s="278" t="str">
        <f>IF(Inputs!J24="","",Inputs!J24)</f>
        <v>Yes</v>
      </c>
      <c r="J22" s="80"/>
      <c r="K22" s="80"/>
      <c r="L22" s="80"/>
      <c r="M22" s="80"/>
      <c r="N22" s="80"/>
      <c r="O22" s="80"/>
      <c r="P22" s="80"/>
      <c r="Q22" s="80"/>
      <c r="R22" s="80"/>
      <c r="S22" s="142"/>
      <c r="T22" s="142"/>
      <c r="U22" s="80"/>
      <c r="V22" s="80"/>
      <c r="W22" s="80"/>
      <c r="X22" s="80"/>
      <c r="Y22" s="80"/>
      <c r="Z22" s="80"/>
      <c r="AA22" s="80"/>
      <c r="AB22" s="80"/>
      <c r="AC22" s="80"/>
      <c r="AD22" s="142"/>
      <c r="AE22" s="142"/>
      <c r="AF22" s="142"/>
      <c r="AG22" s="142"/>
      <c r="AH22" s="142"/>
      <c r="AI22" s="142"/>
      <c r="AJ22" s="142"/>
      <c r="AK22" s="142"/>
      <c r="AL22" s="142"/>
      <c r="AM22" s="142"/>
      <c r="AN22" s="142"/>
    </row>
    <row r="23" spans="1:40" ht="14.25" customHeight="1" x14ac:dyDescent="0.25">
      <c r="A23" s="257" t="str">
        <f>IF(Inputs!B25="","",Inputs!B25)</f>
        <v/>
      </c>
      <c r="B23" s="282" t="str">
        <f>IF(Inputs!C25="","",Inputs!C25)</f>
        <v/>
      </c>
      <c r="C23" s="556" t="str">
        <f>IF(Inputs!D25="","",IF(Inputs!D25="Standard SS (2-in OD)","Standard",IF(Inputs!D25="Non-Standard (3-in OD)", "3-in OD",IF(Inputs!D25="Non-Standard (2.5-in OD)","2.5-in OD",IF(Inputs!D25="D&amp;M SS (3.25-in OD)","3.25-in OD","Custom")))))</f>
        <v/>
      </c>
      <c r="D23" s="283" t="str">
        <f>IF(Inputs!E25="","",Inputs!E25)</f>
        <v/>
      </c>
      <c r="E23" s="283" t="str">
        <f>IF(Inputs!F25="","",Inputs!F25)</f>
        <v/>
      </c>
      <c r="F23" s="254" t="str">
        <f>IF(Inputs!G25="","",Inputs!G25)</f>
        <v/>
      </c>
      <c r="G23" s="284" t="str">
        <f>IF(Inputs!H25="","",Inputs!H25)</f>
        <v/>
      </c>
      <c r="H23" s="570" t="str">
        <f>IF(Inputs!I25="","",Inputs!I25)</f>
        <v/>
      </c>
      <c r="I23" s="278" t="str">
        <f>IF(Inputs!J25="","",Inputs!J25)</f>
        <v/>
      </c>
      <c r="J23" s="142"/>
      <c r="K23" s="142"/>
      <c r="L23" s="142"/>
      <c r="M23" s="142"/>
      <c r="N23" s="142"/>
      <c r="O23" s="142"/>
      <c r="P23" s="142"/>
      <c r="Q23" s="142"/>
      <c r="R23" s="142"/>
      <c r="S23" s="142"/>
      <c r="T23" s="142"/>
      <c r="U23" s="142"/>
      <c r="V23" s="142"/>
      <c r="W23" s="142"/>
      <c r="X23" s="142"/>
      <c r="Y23" s="142"/>
      <c r="Z23" s="142"/>
      <c r="AA23" s="142"/>
      <c r="AB23" s="142"/>
      <c r="AC23" s="142"/>
      <c r="AD23" s="142"/>
      <c r="AE23" s="142"/>
      <c r="AF23" s="142"/>
      <c r="AG23" s="142"/>
      <c r="AH23" s="142"/>
      <c r="AI23" s="142"/>
      <c r="AJ23" s="142"/>
      <c r="AK23" s="142"/>
      <c r="AL23" s="142"/>
      <c r="AM23" s="142"/>
      <c r="AN23" s="142"/>
    </row>
    <row r="24" spans="1:40" x14ac:dyDescent="0.25">
      <c r="A24" s="257" t="str">
        <f>IF(Inputs!B26="","",Inputs!B26)</f>
        <v/>
      </c>
      <c r="B24" s="282" t="str">
        <f>IF(Inputs!C26="","",Inputs!C26)</f>
        <v/>
      </c>
      <c r="C24" s="556" t="str">
        <f>IF(Inputs!D26="","",IF(Inputs!D26="Standard SS (2-in OD)","Standard",IF(Inputs!D26="Non-Standard (3-in OD)", "3-in OD",IF(Inputs!D26="Non-Standard (2.5-in OD)","2.5-in OD",IF(Inputs!D26="D&amp;M SS (3.25-in OD)","3.25-in OD","Custom")))))</f>
        <v/>
      </c>
      <c r="D24" s="283" t="str">
        <f>IF(Inputs!E26="","",Inputs!E26)</f>
        <v/>
      </c>
      <c r="E24" s="283" t="str">
        <f>IF(Inputs!F26="","",Inputs!F26)</f>
        <v/>
      </c>
      <c r="F24" s="254" t="str">
        <f>IF(Inputs!G26="","",Inputs!G26)</f>
        <v/>
      </c>
      <c r="G24" s="284" t="str">
        <f>IF(Inputs!H26="","",Inputs!H26)</f>
        <v/>
      </c>
      <c r="H24" s="570" t="str">
        <f>IF(Inputs!I26="","",Inputs!I26)</f>
        <v/>
      </c>
      <c r="I24" s="278" t="str">
        <f>IF(Inputs!J26="","",Inputs!J26)</f>
        <v/>
      </c>
      <c r="J24" s="242"/>
      <c r="K24" s="597" t="s">
        <v>317</v>
      </c>
      <c r="L24" s="598"/>
      <c r="M24" s="598"/>
      <c r="N24" s="598"/>
      <c r="O24" s="599"/>
      <c r="P24" s="600" t="s">
        <v>318</v>
      </c>
      <c r="Q24" s="601"/>
      <c r="R24" s="601"/>
      <c r="S24" s="601"/>
      <c r="T24" s="601"/>
      <c r="U24" s="242"/>
      <c r="V24" s="597" t="s">
        <v>317</v>
      </c>
      <c r="W24" s="598"/>
      <c r="X24" s="598"/>
      <c r="Y24" s="598"/>
      <c r="Z24" s="599"/>
      <c r="AA24" s="600" t="s">
        <v>318</v>
      </c>
      <c r="AB24" s="601"/>
      <c r="AC24" s="601"/>
      <c r="AD24" s="601"/>
      <c r="AE24" s="601"/>
      <c r="AF24" s="440" t="s">
        <v>345</v>
      </c>
      <c r="AG24" s="142"/>
      <c r="AH24" s="142"/>
      <c r="AI24" s="142"/>
      <c r="AJ24" s="142"/>
      <c r="AK24" s="142"/>
      <c r="AL24" s="142"/>
      <c r="AM24" s="142"/>
      <c r="AN24" s="142"/>
    </row>
    <row r="25" spans="1:40" ht="18.75" customHeight="1" x14ac:dyDescent="0.25">
      <c r="A25" s="257" t="str">
        <f>IF(Inputs!B27="","",Inputs!B27)</f>
        <v/>
      </c>
      <c r="B25" s="282" t="str">
        <f>IF(Inputs!C27="","",Inputs!C27)</f>
        <v/>
      </c>
      <c r="C25" s="556" t="str">
        <f>IF(Inputs!D27="","",IF(Inputs!D27="Standard SS (2-in OD)","Standard",IF(Inputs!D27="Non-Standard (3-in OD)", "3-in OD",IF(Inputs!D27="Non-Standard (2.5-in OD)","2.5-in OD",IF(Inputs!D27="D&amp;M SS (3.25-in OD)","3.25-in OD","Custom")))))</f>
        <v/>
      </c>
      <c r="D25" s="283" t="str">
        <f>IF(Inputs!E27="","",Inputs!E27)</f>
        <v/>
      </c>
      <c r="E25" s="283" t="str">
        <f>IF(Inputs!F27="","",Inputs!F27)</f>
        <v/>
      </c>
      <c r="F25" s="254" t="str">
        <f>IF(Inputs!G27="","",Inputs!G27)</f>
        <v/>
      </c>
      <c r="G25" s="284" t="str">
        <f>IF(Inputs!H27="","",Inputs!H27)</f>
        <v/>
      </c>
      <c r="H25" s="570" t="str">
        <f>IF(Inputs!I27="","",Inputs!I27)</f>
        <v/>
      </c>
      <c r="I25" s="278" t="str">
        <f>IF(Inputs!J27="","",Inputs!J27)</f>
        <v/>
      </c>
      <c r="J25" s="278" t="str">
        <f>IF(units=1,"Depth (m)","Depth (ft)")</f>
        <v>Depth (ft)</v>
      </c>
      <c r="K25" s="244" t="s">
        <v>212</v>
      </c>
      <c r="L25" s="245" t="s">
        <v>213</v>
      </c>
      <c r="M25" s="245" t="s">
        <v>214</v>
      </c>
      <c r="N25" s="245" t="str">
        <f>IF(Option_PL_FSL="FSL","FS_L","P_L")</f>
        <v>FS_L</v>
      </c>
      <c r="O25" s="564" t="str">
        <f>"∑S" &amp; IF(units=1," [cm]"," [in]")</f>
        <v>∑S [in]</v>
      </c>
      <c r="P25" s="244" t="s">
        <v>212</v>
      </c>
      <c r="Q25" s="245" t="s">
        <v>213</v>
      </c>
      <c r="R25" s="245" t="s">
        <v>214</v>
      </c>
      <c r="S25" s="245" t="str">
        <f>IF(Option_PL_FSL="FSL","FS_L","P_L")</f>
        <v>FS_L</v>
      </c>
      <c r="T25" s="564" t="str">
        <f>"∑S" &amp; IF(units=1," [cm]"," [in]")</f>
        <v>∑S [in]</v>
      </c>
      <c r="U25" s="276" t="str">
        <f>IF(units=1,"Depth (m)","Depth (ft)")</f>
        <v>Depth (ft)</v>
      </c>
      <c r="V25" s="244" t="s">
        <v>212</v>
      </c>
      <c r="W25" s="245" t="s">
        <v>213</v>
      </c>
      <c r="X25" s="245" t="s">
        <v>214</v>
      </c>
      <c r="Y25" s="245" t="str">
        <f>IF(Option_PL_FSL="FSL","FS_L","P_L")</f>
        <v>FS_L</v>
      </c>
      <c r="Z25" s="564" t="str">
        <f>"∑S" &amp; IF(units=1," [cm]"," [in]")</f>
        <v>∑S [in]</v>
      </c>
      <c r="AA25" s="244" t="s">
        <v>212</v>
      </c>
      <c r="AB25" s="245" t="s">
        <v>213</v>
      </c>
      <c r="AC25" s="245" t="s">
        <v>214</v>
      </c>
      <c r="AD25" s="245" t="str">
        <f>IF(Option_PL_FSL="FSL","FS_L","P_L")</f>
        <v>FS_L</v>
      </c>
      <c r="AE25" s="564" t="str">
        <f>"∑S" &amp; IF(units=1," [cm]"," [in]")</f>
        <v>∑S [in]</v>
      </c>
      <c r="AF25" s="142"/>
      <c r="AG25" s="142"/>
      <c r="AH25" s="142"/>
      <c r="AI25" s="142"/>
      <c r="AJ25" s="142"/>
      <c r="AK25" s="142"/>
      <c r="AL25" s="142"/>
      <c r="AM25" s="142"/>
      <c r="AN25" s="142"/>
    </row>
    <row r="26" spans="1:40" ht="14.25" customHeight="1" x14ac:dyDescent="0.25">
      <c r="A26" s="257" t="str">
        <f>IF(Inputs!B28="","",Inputs!B28)</f>
        <v/>
      </c>
      <c r="B26" s="282" t="str">
        <f>IF(Inputs!C28="","",Inputs!C28)</f>
        <v/>
      </c>
      <c r="C26" s="556" t="str">
        <f>IF(Inputs!D28="","",IF(Inputs!D28="Standard SS (2-in OD)","Standard",IF(Inputs!D28="Non-Standard (3-in OD)", "3-in OD",IF(Inputs!D28="Non-Standard (2.5-in OD)","2.5-in OD",IF(Inputs!D28="D&amp;M SS (3.25-in OD)","3.25-in OD","Custom")))))</f>
        <v/>
      </c>
      <c r="D26" s="283" t="str">
        <f>IF(Inputs!E28="","",Inputs!E28)</f>
        <v/>
      </c>
      <c r="E26" s="283" t="str">
        <f>IF(Inputs!F28="","",Inputs!F28)</f>
        <v/>
      </c>
      <c r="F26" s="254" t="str">
        <f>IF(Inputs!G28="","",Inputs!G28)</f>
        <v/>
      </c>
      <c r="G26" s="284" t="str">
        <f>IF(Inputs!H28="","",Inputs!H28)</f>
        <v/>
      </c>
      <c r="H26" s="570" t="str">
        <f>IF(Inputs!I28="","",Inputs!I28)</f>
        <v/>
      </c>
      <c r="I26" s="278" t="str">
        <f>IF(Inputs!J28="","",Inputs!J28)</f>
        <v/>
      </c>
      <c r="J26" s="246">
        <f>IF(Inputs!$B13="","",Inputs!$B13)</f>
        <v>1.5</v>
      </c>
      <c r="K26" s="247">
        <f ca="1">IF(Method_BI=TRUE,IF('PB Liquefaction Initiation'!$F10="",NA(),'PB Liquefaction Initiation'!$F10),NA())</f>
        <v>33.874185446686866</v>
      </c>
      <c r="L26" s="247">
        <f>IF(AND(Method_BI=TRUE,Inputs!J13="Yes"),'PB Liquefaction Initiation'!S10,NA())</f>
        <v>19.147705078125</v>
      </c>
      <c r="M26" s="248">
        <f ca="1">IF(Method_BI=TRUE,IF('PB Liquefaction Initiation'!P10="","",'PB Liquefaction Initiation'!P10),NA())</f>
        <v>0.22311236023806372</v>
      </c>
      <c r="N26" s="249">
        <f ca="1">IF(Method_BI=TRUE,IF(Option_PL_FSL="FSL",'PB Liquefaction Initiation'!R10,IF(Option_PL_FSL="PL",'PB Liquefaction Initiation'!T10,NA())),NA())</f>
        <v>4.531038012233954</v>
      </c>
      <c r="O26" s="395">
        <f ca="1">IF(AND(Method_BI=TRUE,J26&lt;&gt;""),IF(units=1,'PB Settlement'!AI8,CONVERT('PB Settlement'!AI8,"cm","in")),NA())</f>
        <v>16.277305971866863</v>
      </c>
      <c r="P26" s="250">
        <f>IF(Method_Cetin=TRUE,'PB Liquefaction Initiation'!$D43,NA())</f>
        <v>32.632000000000005</v>
      </c>
      <c r="Q26" s="250">
        <f>IF(Method_Cetin=TRUE,'PB Liquefaction Initiation'!J43,NA())</f>
        <v>42.004928699970996</v>
      </c>
      <c r="R26" s="251">
        <f>IF(Method_Cetin=TRUE,'PB Liquefaction Initiation'!M43,NA())</f>
        <v>2.6853170884224604</v>
      </c>
      <c r="S26" s="252">
        <f>IF(Method_Cetin=TRUE,IF(Option_PL_FSL="FSL",'PB Liquefaction Initiation'!K43,IF(Option_PL_FSL="PL",'PB Liquefaction Initiation'!L43,NA())),NA())</f>
        <v>0.5067739356819696</v>
      </c>
      <c r="T26" s="397">
        <f>IF(AND(Method_Cetin=TRUE,'Final Summary'!J26&lt;&gt;""),IF(units=1,'PB Settlement'!AI36,CONVERT('PB Settlement'!AI36,"cm","in")),NA())</f>
        <v>16.936606037436931</v>
      </c>
      <c r="U26" s="250">
        <f>IF(Inputs!$B13="","",Inputs!$B13)</f>
        <v>1.5</v>
      </c>
      <c r="V26" s="277">
        <f ca="1">IF(Method_BI=TRUE,IF('PB Liquefaction Initiation'!$F10="",NA(),'PB Liquefaction Initiation'!$F10),NA())</f>
        <v>33.874185446686866</v>
      </c>
      <c r="W26" s="247">
        <f>IF(Method_BI=TRUE,IF(Inputs!J13="No",NA(),'Det Liquefaction Initiation'!P10),NA())</f>
        <v>30.872833251953125</v>
      </c>
      <c r="X26" s="248">
        <f ca="1">IF(Method_BI=TRUE,'Det Liquefaction Initiation'!S10,NA())</f>
        <v>0.41396383811397325</v>
      </c>
      <c r="Y26" s="249">
        <f ca="1">IF(Method_BI=TRUE,IF(Option_PL_FSL="FSL",'Det Liquefaction Initiation'!Q10,'Det Liquefaction Initiation'!R10),NA())</f>
        <v>1.8540697745700523</v>
      </c>
      <c r="Z26" s="437">
        <f ca="1">IF(Det_Liq_Option=FALSE,NA(),IF(AND(Method_BI=TRUE,U26&lt;&gt;""),IF(units=1,'Det Settlement'!U7,CONVERT('Det Settlement'!U7,"cm","in")),NA()))</f>
        <v>12.880173220636962</v>
      </c>
      <c r="AA26" s="250">
        <f>IF(Method_Cetin=TRUE,'PB Liquefaction Initiation'!$D43,NA())</f>
        <v>32.632000000000005</v>
      </c>
      <c r="AB26" s="250">
        <f>IF(Method_Cetin=TRUE,'Det Liquefaction Initiation'!K43,NA())</f>
        <v>32.02838398000322</v>
      </c>
      <c r="AC26" s="251">
        <f>IF(Method_Cetin=TRUE,'Det Liquefaction Initiation'!N43,NA())</f>
        <v>0.95265995669352044</v>
      </c>
      <c r="AD26" s="252">
        <f>IF(Method_Cetin=TRUE,IF(Option_PL_FSL="FSL",'Det Liquefaction Initiation'!L43,'Det Liquefaction Initiation'!M43),NA())</f>
        <v>1.6810605542142403</v>
      </c>
      <c r="AE26" s="397">
        <f>IF(Det_Liq_Option=FALSE,NA(),IF(AND(Method_Cetin=TRUE,'Final Summary'!U26&lt;&gt;""),IF(units=1,'Det Settlement'!U33,CONVERT('Det Settlement'!U33,"cm","in")),NA()))</f>
        <v>17.781121844546966</v>
      </c>
      <c r="AF26" s="142"/>
      <c r="AG26" s="454" t="s">
        <v>351</v>
      </c>
      <c r="AH26" s="142"/>
      <c r="AI26" s="606" t="s">
        <v>352</v>
      </c>
      <c r="AJ26" s="606"/>
      <c r="AK26" s="142"/>
      <c r="AL26" s="606" t="s">
        <v>231</v>
      </c>
      <c r="AM26" s="606"/>
      <c r="AN26" s="606"/>
    </row>
    <row r="27" spans="1:40" ht="14.25" customHeight="1" x14ac:dyDescent="0.25">
      <c r="A27" s="257" t="str">
        <f>IF(Inputs!B29="","",Inputs!B29)</f>
        <v/>
      </c>
      <c r="B27" s="282" t="str">
        <f>IF(Inputs!C29="","",Inputs!C29)</f>
        <v/>
      </c>
      <c r="C27" s="556" t="str">
        <f>IF(Inputs!D29="","",IF(Inputs!D29="Standard SS (2-in OD)","Standard",IF(Inputs!D29="Non-Standard (3-in OD)", "3-in OD",IF(Inputs!D29="Non-Standard (2.5-in OD)","2.5-in OD",IF(Inputs!D29="D&amp;M SS (3.25-in OD)","3.25-in OD","Custom")))))</f>
        <v/>
      </c>
      <c r="D27" s="283" t="str">
        <f>IF(Inputs!E29="","",Inputs!E29)</f>
        <v/>
      </c>
      <c r="E27" s="283" t="str">
        <f>IF(Inputs!F29="","",Inputs!F29)</f>
        <v/>
      </c>
      <c r="F27" s="254" t="str">
        <f>IF(Inputs!G29="","",Inputs!G29)</f>
        <v/>
      </c>
      <c r="G27" s="284" t="str">
        <f>IF(Inputs!H29="","",Inputs!H29)</f>
        <v/>
      </c>
      <c r="H27" s="570" t="str">
        <f>IF(Inputs!I29="","",Inputs!I29)</f>
        <v/>
      </c>
      <c r="I27" s="278" t="str">
        <f>IF(Inputs!J29="","",Inputs!J29)</f>
        <v/>
      </c>
      <c r="J27" s="253">
        <f>IF(Inputs!$B14="","",Inputs!$B14)</f>
        <v>5.5</v>
      </c>
      <c r="K27" s="254">
        <f ca="1">IF(Method_BI=TRUE,IF('PB Liquefaction Initiation'!$F11="",NA(),'PB Liquefaction Initiation'!$F11),NA())</f>
        <v>11.900438780020192</v>
      </c>
      <c r="L27" s="254">
        <f>IF(AND(Method_BI=TRUE,Inputs!J14="Yes"),'PB Liquefaction Initiation'!S11,NA())</f>
        <v>27.375556945800781</v>
      </c>
      <c r="M27" s="255">
        <f ca="1">IF(Method_BI=TRUE,IF('PB Liquefaction Initiation'!P11="","",'PB Liquefaction Initiation'!P11),NA())</f>
        <v>0.40952183783721907</v>
      </c>
      <c r="N27" s="256">
        <f ca="1">IF(Method_BI=TRUE,IF(Option_PL_FSL="FSL",'PB Liquefaction Initiation'!R11,IF(Option_PL_FSL="PL",'PB Liquefaction Initiation'!T11,NA())),NA())</f>
        <v>0.36628433612858424</v>
      </c>
      <c r="O27" s="396">
        <f ca="1">IF(AND(Method_BI=TRUE,J27&lt;&gt;""),IF(units=1,'PB Settlement'!AI9,CONVERT('PB Settlement'!AI9,"cm","in")),NA())</f>
        <v>16.277305971866863</v>
      </c>
      <c r="P27" s="250">
        <f>IF(Method_Cetin=TRUE,'PB Liquefaction Initiation'!$D44,NA())</f>
        <v>10.621491593382261</v>
      </c>
      <c r="Q27" s="250">
        <f>IF(Method_Cetin=TRUE,'PB Liquefaction Initiation'!J44,NA())</f>
        <v>46.832199771351362</v>
      </c>
      <c r="R27" s="251">
        <f>IF(Method_Cetin=TRUE,'PB Liquefaction Initiation'!M44,NA())</f>
        <v>2.6589660085161717</v>
      </c>
      <c r="S27" s="252">
        <f>IF(Method_Cetin=TRUE,IF(Option_PL_FSL="FSL",'PB Liquefaction Initiation'!K44,IF(Option_PL_FSL="PL",'PB Liquefaction Initiation'!L44,NA())),NA())</f>
        <v>7.2376967184628785E-2</v>
      </c>
      <c r="T27" s="397">
        <f>IF(AND(Method_Cetin=TRUE,'Final Summary'!J27&lt;&gt;""),IF(units=1,'PB Settlement'!AI37,CONVERT('PB Settlement'!AI37,"cm","in")),NA())</f>
        <v>16.199166662370263</v>
      </c>
      <c r="U27" s="250">
        <f>IF(Inputs!$B14="","",Inputs!$B14)</f>
        <v>5.5</v>
      </c>
      <c r="V27" s="257">
        <f ca="1">IF(Method_BI=TRUE,IF('PB Liquefaction Initiation'!$F11="",NA(),'PB Liquefaction Initiation'!$F11),NA())</f>
        <v>11.900438780020192</v>
      </c>
      <c r="W27" s="254">
        <f>IF(Method_BI=TRUE,IF(Inputs!J14="No",NA(),'Det Liquefaction Initiation'!P11),NA())</f>
        <v>34.456560134887695</v>
      </c>
      <c r="X27" s="255">
        <f ca="1">IF(Method_BI=TRUE,'Det Liquefaction Initiation'!S11,NA())</f>
        <v>0.75372797671486647</v>
      </c>
      <c r="Y27" s="256">
        <f ca="1">IF(Method_BI=TRUE,IF(Option_PL_FSL="FSL",'Det Liquefaction Initiation'!Q11,'Det Liquefaction Initiation'!R11),NA())</f>
        <v>0.15109424382340919</v>
      </c>
      <c r="Z27" s="438">
        <f ca="1">IF(Det_Liq_Option=FALSE,NA(),IF(AND(Method_BI=TRUE,U27&lt;&gt;""),IF(units=1,'Det Settlement'!U8,CONVERT('Det Settlement'!U8,"cm","in")),NA()))</f>
        <v>12.846480018254567</v>
      </c>
      <c r="AA27" s="250">
        <f>IF(Method_Cetin=TRUE,'PB Liquefaction Initiation'!$D44,NA())</f>
        <v>10.621491593382261</v>
      </c>
      <c r="AB27" s="250">
        <f>IF(Method_Cetin=TRUE,'Det Liquefaction Initiation'!K44,NA())</f>
        <v>36.955805633264397</v>
      </c>
      <c r="AC27" s="251">
        <f>IF(Method_Cetin=TRUE,'Det Liquefaction Initiation'!N44,NA())</f>
        <v>0.9501872677197607</v>
      </c>
      <c r="AD27" s="252">
        <f>IF(Method_Cetin=TRUE,IF(Option_PL_FSL="FSL",'Det Liquefaction Initiation'!L44,'Det Liquefaction Initiation'!M44),NA())</f>
        <v>0.23835012409072004</v>
      </c>
      <c r="AE27" s="397">
        <f>IF(Det_Liq_Option=FALSE,NA(),IF(AND(Method_Cetin=TRUE,'Final Summary'!U27&lt;&gt;""),IF(units=1,'Det Settlement'!U34,CONVERT('Det Settlement'!U34,"cm","in")),NA()))</f>
        <v>17.034341326775493</v>
      </c>
      <c r="AF27" s="148" t="s">
        <v>15</v>
      </c>
      <c r="AG27" s="455">
        <f>IF(PGA_prob="","",PGA_prob)</f>
        <v>0.44</v>
      </c>
      <c r="AH27" s="142"/>
      <c r="AI27" s="456" t="s">
        <v>354</v>
      </c>
      <c r="AJ27" s="457">
        <f>IF(D_ref_RS="","",D_ref_RS)</f>
        <v>2.4300000000000002</v>
      </c>
      <c r="AK27" s="142"/>
      <c r="AL27" s="73" t="s">
        <v>15</v>
      </c>
      <c r="AM27" s="74">
        <f>IF(PGA_det="","",PGA_det)</f>
        <v>0.73</v>
      </c>
      <c r="AN27" s="142"/>
    </row>
    <row r="28" spans="1:40" ht="14.25" customHeight="1" x14ac:dyDescent="0.3">
      <c r="A28" s="257" t="str">
        <f>IF(Inputs!B30="","",Inputs!B30)</f>
        <v/>
      </c>
      <c r="B28" s="282" t="str">
        <f>IF(Inputs!C30="","",Inputs!C30)</f>
        <v/>
      </c>
      <c r="C28" s="556" t="str">
        <f>IF(Inputs!D30="","",IF(Inputs!D30="Standard SS (2-in OD)","Standard",IF(Inputs!D30="Non-Standard (3-in OD)", "3-in OD",IF(Inputs!D30="Non-Standard (2.5-in OD)","2.5-in OD",IF(Inputs!D30="D&amp;M SS (3.25-in OD)","3.25-in OD","Custom")))))</f>
        <v/>
      </c>
      <c r="D28" s="283" t="str">
        <f>IF(Inputs!E30="","",Inputs!E30)</f>
        <v/>
      </c>
      <c r="E28" s="283" t="str">
        <f>IF(Inputs!F30="","",Inputs!F30)</f>
        <v/>
      </c>
      <c r="F28" s="254" t="str">
        <f>IF(Inputs!G30="","",Inputs!G30)</f>
        <v/>
      </c>
      <c r="G28" s="284" t="str">
        <f>IF(Inputs!H30="","",Inputs!H30)</f>
        <v/>
      </c>
      <c r="H28" s="570" t="str">
        <f>IF(Inputs!I30="","",Inputs!I30)</f>
        <v/>
      </c>
      <c r="I28" s="278" t="str">
        <f>IF(Inputs!J30="","",Inputs!J30)</f>
        <v/>
      </c>
      <c r="J28" s="253">
        <f>IF(Inputs!$B15="","",Inputs!$B15)</f>
        <v>10.5</v>
      </c>
      <c r="K28" s="254">
        <f ca="1">IF(Method_BI=TRUE,IF('PB Liquefaction Initiation'!$F12="",NA(),'PB Liquefaction Initiation'!$F12),NA())</f>
        <v>13.693403668256009</v>
      </c>
      <c r="L28" s="254">
        <f>IF(AND(Method_BI=TRUE,Inputs!J15="Yes"),'PB Liquefaction Initiation'!S12,NA())</f>
        <v>27.535186767578125</v>
      </c>
      <c r="M28" s="255">
        <f ca="1">IF(Method_BI=TRUE,IF('PB Liquefaction Initiation'!P12="","",'PB Liquefaction Initiation'!P12),NA())</f>
        <v>0.4161886272075469</v>
      </c>
      <c r="N28" s="256">
        <f ca="1">IF(Method_BI=TRUE,IF(Option_PL_FSL="FSL",'PB Liquefaction Initiation'!R12,IF(Option_PL_FSL="PL",'PB Liquefaction Initiation'!T12,NA())),NA())</f>
        <v>0.39800901685415463</v>
      </c>
      <c r="O28" s="396">
        <f ca="1">IF(AND(Method_BI=TRUE,J28&lt;&gt;""),IF(units=1,'PB Settlement'!AI10,CONVERT('PB Settlement'!AI10,"cm","in")),NA())</f>
        <v>12.157289531771442</v>
      </c>
      <c r="P28" s="250">
        <f>IF(Method_Cetin=TRUE,'PB Liquefaction Initiation'!$D45,NA())</f>
        <v>13.32533678800505</v>
      </c>
      <c r="Q28" s="250">
        <f>IF(Method_Cetin=TRUE,'PB Liquefaction Initiation'!J45,NA())</f>
        <v>49.042805837838067</v>
      </c>
      <c r="R28" s="251">
        <f>IF(Method_Cetin=TRUE,'PB Liquefaction Initiation'!M45,NA())</f>
        <v>2.6093956450717322</v>
      </c>
      <c r="S28" s="252">
        <f>IF(Method_Cetin=TRUE,IF(Option_PL_FSL="FSL",'PB Liquefaction Initiation'!K45,IF(Option_PL_FSL="PL",'PB Liquefaction Initiation'!L45,NA())),NA())</f>
        <v>7.5012592581681872E-2</v>
      </c>
      <c r="T28" s="397">
        <f>IF(AND(Method_Cetin=TRUE,'Final Summary'!J28&lt;&gt;""),IF(units=1,'PB Settlement'!AI38,CONVERT('PB Settlement'!AI38,"cm","in")),NA())</f>
        <v>12.068266841666206</v>
      </c>
      <c r="U28" s="250">
        <f>IF(Inputs!$B15="","",Inputs!$B15)</f>
        <v>10.5</v>
      </c>
      <c r="V28" s="257">
        <f ca="1">IF(Method_BI=TRUE,IF('PB Liquefaction Initiation'!$F12="",NA(),'PB Liquefaction Initiation'!$F12),NA())</f>
        <v>13.693403668256009</v>
      </c>
      <c r="W28" s="254">
        <f>IF(Method_BI=TRUE,IF(Inputs!J15="No",NA(),'Det Liquefaction Initiation'!P12),NA())</f>
        <v>34.541889190673828</v>
      </c>
      <c r="X28" s="255">
        <f ca="1">IF(Method_BI=TRUE,'Det Liquefaction Initiation'!S12,NA())</f>
        <v>0.76658707737983955</v>
      </c>
      <c r="Y28" s="256">
        <f ca="1">IF(Method_BI=TRUE,IF(Option_PL_FSL="FSL",'Det Liquefaction Initiation'!Q12,'Det Liquefaction Initiation'!R12),NA())</f>
        <v>0.16405473453769903</v>
      </c>
      <c r="Z28" s="438">
        <f ca="1">IF(Det_Liq_Option=FALSE,NA(),IF(AND(Method_BI=TRUE,U28&lt;&gt;""),IF(units=1,'Det Settlement'!U9,CONVERT('Det Settlement'!U9,"cm","in")),NA()))</f>
        <v>9.6472942084314806</v>
      </c>
      <c r="AA28" s="250">
        <f>IF(Method_Cetin=TRUE,'PB Liquefaction Initiation'!$D45,NA())</f>
        <v>13.32533678800505</v>
      </c>
      <c r="AB28" s="250">
        <f>IF(Method_Cetin=TRUE,'Det Liquefaction Initiation'!K45,NA())</f>
        <v>39.374718423613992</v>
      </c>
      <c r="AC28" s="251">
        <f>IF(Method_Cetin=TRUE,'Det Liquefaction Initiation'!N45,NA())</f>
        <v>0.94666571539436606</v>
      </c>
      <c r="AD28" s="252">
        <f>IF(Method_Cetin=TRUE,IF(Option_PL_FSL="FSL",'Det Liquefaction Initiation'!L45,'Det Liquefaction Initiation'!M45),NA())</f>
        <v>0.24332620501597385</v>
      </c>
      <c r="AE28" s="397">
        <f>IF(Det_Liq_Option=FALSE,NA(),IF(AND(Method_Cetin=TRUE,'Final Summary'!U28&lt;&gt;""),IF(units=1,'Det Settlement'!U35,CONVERT('Det Settlement'!U35,"cm","in")),NA()))</f>
        <v>12.83299742307605</v>
      </c>
      <c r="AF28" s="150" t="s">
        <v>353</v>
      </c>
      <c r="AG28" s="455">
        <f>IF(Fpga="","",Fpga)</f>
        <v>1.06</v>
      </c>
      <c r="AH28" s="142"/>
      <c r="AI28" s="456" t="s">
        <v>355</v>
      </c>
      <c r="AJ28" s="457">
        <f>IF(D_ref_BT="","",D_ref_BT)</f>
        <v>2.65</v>
      </c>
      <c r="AK28" s="142"/>
      <c r="AL28" s="73" t="s">
        <v>356</v>
      </c>
      <c r="AM28" s="74">
        <f>IF(ky_site="","",ky_site)</f>
        <v>0.2</v>
      </c>
      <c r="AN28" s="142"/>
    </row>
    <row r="29" spans="1:40" ht="14.25" customHeight="1" x14ac:dyDescent="0.3">
      <c r="A29" s="257" t="str">
        <f>IF(Inputs!B31="","",Inputs!B31)</f>
        <v/>
      </c>
      <c r="B29" s="282" t="str">
        <f>IF(Inputs!C31="","",Inputs!C31)</f>
        <v/>
      </c>
      <c r="C29" s="556" t="str">
        <f>IF(Inputs!D31="","",IF(Inputs!D31="Standard SS (2-in OD)","Standard",IF(Inputs!D31="Non-Standard (3-in OD)", "3-in OD",IF(Inputs!D31="Non-Standard (2.5-in OD)","2.5-in OD",IF(Inputs!D31="D&amp;M SS (3.25-in OD)","3.25-in OD","Custom")))))</f>
        <v/>
      </c>
      <c r="D29" s="283" t="str">
        <f>IF(Inputs!E31="","",Inputs!E31)</f>
        <v/>
      </c>
      <c r="E29" s="283" t="str">
        <f>IF(Inputs!F31="","",Inputs!F31)</f>
        <v/>
      </c>
      <c r="F29" s="254" t="str">
        <f>IF(Inputs!G31="","",Inputs!G31)</f>
        <v/>
      </c>
      <c r="G29" s="284" t="str">
        <f>IF(Inputs!H31="","",Inputs!H31)</f>
        <v/>
      </c>
      <c r="H29" s="570" t="str">
        <f>IF(Inputs!I31="","",Inputs!I31)</f>
        <v/>
      </c>
      <c r="I29" s="278" t="str">
        <f>IF(Inputs!J31="","",Inputs!J31)</f>
        <v/>
      </c>
      <c r="J29" s="253">
        <f>IF(Inputs!$B16="","",Inputs!$B16)</f>
        <v>15</v>
      </c>
      <c r="K29" s="254">
        <f ca="1">IF(Method_BI=TRUE,IF('PB Liquefaction Initiation'!$F13="",NA(),'PB Liquefaction Initiation'!$F13),NA())</f>
        <v>7.5891695726420965</v>
      </c>
      <c r="L29" s="254" t="e">
        <f>IF(AND(Method_BI=TRUE,Inputs!J16="Yes"),'PB Liquefaction Initiation'!S13,NA())</f>
        <v>#N/A</v>
      </c>
      <c r="M29" s="255" t="e">
        <f ca="1">IF(Method_BI=TRUE,IF('PB Liquefaction Initiation'!P13="","",'PB Liquefaction Initiation'!P13),NA())</f>
        <v>#N/A</v>
      </c>
      <c r="N29" s="256" t="e">
        <f ca="1">IF(Method_BI=TRUE,IF(Option_PL_FSL="FSL",'PB Liquefaction Initiation'!R13,IF(Option_PL_FSL="PL",'PB Liquefaction Initiation'!T13,NA())),NA())</f>
        <v>#N/A</v>
      </c>
      <c r="O29" s="396">
        <f ca="1">IF(AND(Method_BI=TRUE,J29&lt;&gt;""),IF(units=1,'PB Settlement'!AI11,CONVERT('PB Settlement'!AI11,"cm","in")),NA())</f>
        <v>8.9436638958629757</v>
      </c>
      <c r="P29" s="250">
        <f>IF(Method_Cetin=TRUE,'PB Liquefaction Initiation'!$D46,NA())</f>
        <v>4.0320252341104634</v>
      </c>
      <c r="Q29" s="250" t="e">
        <f>IF(Method_Cetin=TRUE,'PB Liquefaction Initiation'!J46,NA())</f>
        <v>#N/A</v>
      </c>
      <c r="R29" s="251" t="e">
        <f>IF(Method_Cetin=TRUE,'PB Liquefaction Initiation'!M46,NA())</f>
        <v>#N/A</v>
      </c>
      <c r="S29" s="252" t="e">
        <f>IF(Method_Cetin=TRUE,IF(Option_PL_FSL="FSL",'PB Liquefaction Initiation'!K46,IF(Option_PL_FSL="PL",'PB Liquefaction Initiation'!L46,NA())),NA())</f>
        <v>#N/A</v>
      </c>
      <c r="T29" s="397">
        <f>IF(AND(Method_Cetin=TRUE,'Final Summary'!J29&lt;&gt;""),IF(units=1,'PB Settlement'!AI39,CONVERT('PB Settlement'!AI39,"cm","in")),NA())</f>
        <v>8.7697142561281183</v>
      </c>
      <c r="U29" s="250">
        <f>IF(Inputs!$B16="","",Inputs!$B16)</f>
        <v>15</v>
      </c>
      <c r="V29" s="257">
        <f ca="1">IF(Method_BI=TRUE,IF('PB Liquefaction Initiation'!$F13="",NA(),'PB Liquefaction Initiation'!$F13),NA())</f>
        <v>7.5891695726420965</v>
      </c>
      <c r="W29" s="254" t="e">
        <f>IF(Method_BI=TRUE,IF(Inputs!J16="No",NA(),'Det Liquefaction Initiation'!P13),NA())</f>
        <v>#N/A</v>
      </c>
      <c r="X29" s="255" t="e">
        <f>IF(Method_BI=TRUE,'Det Liquefaction Initiation'!S13,NA())</f>
        <v>#N/A</v>
      </c>
      <c r="Y29" s="256" t="e">
        <f ca="1">IF(Method_BI=TRUE,IF(Option_PL_FSL="FSL",'Det Liquefaction Initiation'!Q13,'Det Liquefaction Initiation'!R13),NA())</f>
        <v>#N/A</v>
      </c>
      <c r="Z29" s="438">
        <f ca="1">IF(Det_Liq_Option=FALSE,NA(),IF(AND(Method_BI=TRUE,U29&lt;&gt;""),IF(units=1,'Det Settlement'!U10,CONVERT('Det Settlement'!U10,"cm","in")),NA()))</f>
        <v>7.003131034746807</v>
      </c>
      <c r="AA29" s="250">
        <f>IF(Method_Cetin=TRUE,'PB Liquefaction Initiation'!$D46,NA())</f>
        <v>4.0320252341104634</v>
      </c>
      <c r="AB29" s="250" t="e">
        <f>IF(Method_Cetin=TRUE,'Det Liquefaction Initiation'!K46,NA())</f>
        <v>#N/A</v>
      </c>
      <c r="AC29" s="251" t="e">
        <f>IF(Method_Cetin=TRUE,'Det Liquefaction Initiation'!N46,NA())</f>
        <v>#N/A</v>
      </c>
      <c r="AD29" s="252" t="e">
        <f>IF(Method_Cetin=TRUE,IF(Option_PL_FSL="FSL",'Det Liquefaction Initiation'!L46,'Det Liquefaction Initiation'!M46),NA())</f>
        <v>#N/A</v>
      </c>
      <c r="AE29" s="397">
        <f>IF(Det_Liq_Option=FALSE,NA(),IF(AND(Method_Cetin=TRUE,'Final Summary'!U29&lt;&gt;""),IF(units=1,'Det Settlement'!U36,CONVERT('Det Settlement'!U36,"cm","in")),NA()))</f>
        <v>9.3918712355518235</v>
      </c>
      <c r="AF29" s="148" t="s">
        <v>93</v>
      </c>
      <c r="AG29" s="455">
        <f>IF(Mw_prob="","",Mw_prob)</f>
        <v>6.77</v>
      </c>
      <c r="AH29" s="142"/>
      <c r="AI29" s="142"/>
      <c r="AJ29" s="142"/>
      <c r="AK29" s="142"/>
      <c r="AL29" s="73" t="s">
        <v>357</v>
      </c>
      <c r="AM29" s="74">
        <f>IF(Mw_det="","",Mw_det)</f>
        <v>6.8</v>
      </c>
      <c r="AN29" s="142"/>
    </row>
    <row r="30" spans="1:40" ht="16.5" x14ac:dyDescent="0.3">
      <c r="A30" s="259" t="str">
        <f>IF(Inputs!B32="","",Inputs!B32)</f>
        <v/>
      </c>
      <c r="B30" s="285" t="str">
        <f>IF(Inputs!C32="","",Inputs!C32)</f>
        <v/>
      </c>
      <c r="C30" s="557" t="str">
        <f>IF(Inputs!D32="","",IF(Inputs!D32="Standard SS (2-in OD)","Standard",IF(Inputs!D32="Non-Standard (3-in OD)", "3-in OD",IF(Inputs!D32="Non-Standard (2.5-in OD)","2.5-in OD",IF(Inputs!D32="D&amp;M SS (3.25-in OD)","3.25-in OD","Custom")))))</f>
        <v/>
      </c>
      <c r="D30" s="286" t="str">
        <f>IF(Inputs!E32="","",Inputs!E32)</f>
        <v/>
      </c>
      <c r="E30" s="286" t="str">
        <f>IF(Inputs!F32="","",Inputs!F32)</f>
        <v/>
      </c>
      <c r="F30" s="258" t="str">
        <f>IF(Inputs!G32="","",Inputs!G32)</f>
        <v/>
      </c>
      <c r="G30" s="276" t="str">
        <f>IF(Inputs!H32="","",Inputs!H32)</f>
        <v/>
      </c>
      <c r="H30" s="571" t="str">
        <f>IF(Inputs!I32="","",Inputs!I32)</f>
        <v/>
      </c>
      <c r="I30" s="243" t="str">
        <f>IF(Inputs!J32="","",Inputs!J32)</f>
        <v/>
      </c>
      <c r="J30" s="253">
        <f>IF(Inputs!$B17="","",Inputs!$B17)</f>
        <v>20.5</v>
      </c>
      <c r="K30" s="254">
        <f ca="1">IF(Method_BI=TRUE,IF('PB Liquefaction Initiation'!$F14="",NA(),'PB Liquefaction Initiation'!$F14),NA())</f>
        <v>21.708473911296679</v>
      </c>
      <c r="L30" s="254">
        <f>IF(AND(Method_BI=TRUE,Inputs!J17="Yes"),'PB Liquefaction Initiation'!S14,NA())</f>
        <v>26.788627624511719</v>
      </c>
      <c r="M30" s="255">
        <f ca="1">IF(Method_BI=TRUE,IF('PB Liquefaction Initiation'!P14="","",'PB Liquefaction Initiation'!P14),NA())</f>
        <v>0.38666916463062412</v>
      </c>
      <c r="N30" s="256">
        <f ca="1">IF(Method_BI=TRUE,IF(Option_PL_FSL="FSL",'PB Liquefaction Initiation'!R14,IF(Option_PL_FSL="PL",'PB Liquefaction Initiation'!T14,NA())),NA())</f>
        <v>0.67349663088987843</v>
      </c>
      <c r="O30" s="396">
        <f ca="1">IF(AND(Method_BI=TRUE,J30&lt;&gt;""),IF(units=1,'PB Settlement'!AI12,CONVERT('PB Settlement'!AI12,"cm","in")),NA())</f>
        <v>8.9436638958629757</v>
      </c>
      <c r="P30" s="250">
        <f>IF(Method_Cetin=TRUE,'PB Liquefaction Initiation'!$D47,NA())</f>
        <v>22.247219944730496</v>
      </c>
      <c r="Q30" s="250">
        <f>IF(Method_Cetin=TRUE,'PB Liquefaction Initiation'!J47,NA())</f>
        <v>50.606475950225416</v>
      </c>
      <c r="R30" s="251">
        <f>IF(Method_Cetin=TRUE,'PB Liquefaction Initiation'!M47,NA())</f>
        <v>2.4282607055619039</v>
      </c>
      <c r="S30" s="252">
        <f>IF(Method_Cetin=TRUE,IF(Option_PL_FSL="FSL",'PB Liquefaction Initiation'!K47,IF(Option_PL_FSL="PL",'PB Liquefaction Initiation'!L47,NA())),NA())</f>
        <v>0.12789971804790864</v>
      </c>
      <c r="T30" s="397">
        <f>IF(AND(Method_Cetin=TRUE,'Final Summary'!J30&lt;&gt;""),IF(units=1,'PB Settlement'!AI40,CONVERT('PB Settlement'!AI40,"cm","in")),NA())</f>
        <v>8.7697142561281183</v>
      </c>
      <c r="U30" s="250">
        <f>IF(Inputs!$B17="","",Inputs!$B17)</f>
        <v>20.5</v>
      </c>
      <c r="V30" s="257">
        <f ca="1">IF(Method_BI=TRUE,IF('PB Liquefaction Initiation'!$F14="",NA(),'PB Liquefaction Initiation'!$F14),NA())</f>
        <v>21.708473911296679</v>
      </c>
      <c r="W30" s="254">
        <f>IF(Method_BI=TRUE,IF(Inputs!J17="No",NA(),'Det Liquefaction Initiation'!P14),NA())</f>
        <v>34.183750152587891</v>
      </c>
      <c r="X30" s="255">
        <f ca="1">IF(Method_BI=TRUE,'Det Liquefaction Initiation'!S14,NA())</f>
        <v>0.71468998628801128</v>
      </c>
      <c r="Y30" s="256">
        <f ca="1">IF(Method_BI=TRUE,IF(Option_PL_FSL="FSL",'Det Liquefaction Initiation'!Q14,'Det Liquefaction Initiation'!R14),NA())</f>
        <v>0.27664601158220065</v>
      </c>
      <c r="Z30" s="438">
        <f ca="1">IF(Det_Liq_Option=FALSE,NA(),IF(AND(Method_BI=TRUE,U30&lt;&gt;""),IF(units=1,'Det Settlement'!U11,CONVERT('Det Settlement'!U11,"cm","in")),NA()))</f>
        <v>7.003131034746807</v>
      </c>
      <c r="AA30" s="250">
        <f>IF(Method_Cetin=TRUE,'PB Liquefaction Initiation'!$D47,NA())</f>
        <v>22.247219944730496</v>
      </c>
      <c r="AB30" s="250">
        <f>IF(Method_Cetin=TRUE,'Det Liquefaction Initiation'!K47,NA())</f>
        <v>41.802703817817168</v>
      </c>
      <c r="AC30" s="251">
        <f>IF(Method_Cetin=TRUE,'Det Liquefaction Initiation'!N47,NA())</f>
        <v>0.93793401402117049</v>
      </c>
      <c r="AD30" s="252">
        <f>IF(Method_Cetin=TRUE,IF(Option_PL_FSL="FSL",'Det Liquefaction Initiation'!L47,'Det Liquefaction Initiation'!M47),NA())</f>
        <v>0.38967633874842733</v>
      </c>
      <c r="AE30" s="397">
        <f>IF(Det_Liq_Option=FALSE,NA(),IF(AND(Method_Cetin=TRUE,'Final Summary'!U30&lt;&gt;""),IF(units=1,'Det Settlement'!U37,CONVERT('Det Settlement'!U37,"cm","in")),NA()))</f>
        <v>9.3918712355518235</v>
      </c>
      <c r="AF30" s="150" t="s">
        <v>331</v>
      </c>
      <c r="AG30" s="455">
        <f>IF(ky_site="","",ky_site)</f>
        <v>0.2</v>
      </c>
      <c r="AH30" s="142"/>
      <c r="AI30" s="142"/>
      <c r="AJ30" s="142"/>
      <c r="AK30" s="142"/>
      <c r="AL30" s="73" t="s">
        <v>40</v>
      </c>
      <c r="AM30" s="74">
        <f>IF(Percentile_Slope="","",Percentile_Slope)</f>
        <v>85</v>
      </c>
      <c r="AN30" s="142"/>
    </row>
    <row r="31" spans="1:40" x14ac:dyDescent="0.25">
      <c r="A31" s="142"/>
      <c r="B31" s="142"/>
      <c r="C31" s="142"/>
      <c r="D31" s="142"/>
      <c r="E31" s="142"/>
      <c r="F31" s="142"/>
      <c r="G31" s="142"/>
      <c r="H31" s="71"/>
      <c r="I31" s="288"/>
      <c r="J31" s="253">
        <f>IF(Inputs!$B18="","",Inputs!$B18)</f>
        <v>25.5</v>
      </c>
      <c r="K31" s="254">
        <f ca="1">IF(Method_BI=TRUE,IF('PB Liquefaction Initiation'!$F15="",NA(),'PB Liquefaction Initiation'!$F15),NA())</f>
        <v>29.14039966028972</v>
      </c>
      <c r="L31" s="254">
        <f>IF(AND(Method_BI=TRUE,Inputs!J18="Yes"),'PB Liquefaction Initiation'!S15,NA())</f>
        <v>25.683929443359375</v>
      </c>
      <c r="M31" s="255">
        <f ca="1">IF(Method_BI=TRUE,IF('PB Liquefaction Initiation'!P15="","",'PB Liquefaction Initiation'!P15),NA())</f>
        <v>0.34978821385211095</v>
      </c>
      <c r="N31" s="256">
        <f ca="1">IF(Method_BI=TRUE,IF(Option_PL_FSL="FSL",'PB Liquefaction Initiation'!R15,IF(Option_PL_FSL="PL",'PB Liquefaction Initiation'!T15,NA())),NA())</f>
        <v>1.4196896207753118</v>
      </c>
      <c r="O31" s="396">
        <f ca="1">IF(AND(Method_BI=TRUE,J31&lt;&gt;""),IF(units=1,'PB Settlement'!AI13,CONVERT('PB Settlement'!AI13,"cm","in")),NA())</f>
        <v>7.0901023156942484</v>
      </c>
      <c r="P31" s="250">
        <f>IF(Method_Cetin=TRUE,'PB Liquefaction Initiation'!$D48,NA())</f>
        <v>30.426482551232123</v>
      </c>
      <c r="Q31" s="250">
        <f>IF(Method_Cetin=TRUE,'PB Liquefaction Initiation'!J48,NA())</f>
        <v>50.629335939451124</v>
      </c>
      <c r="R31" s="251">
        <f>IF(Method_Cetin=TRUE,'PB Liquefaction Initiation'!M48,NA())</f>
        <v>2.2895929161369906</v>
      </c>
      <c r="S31" s="252">
        <f>IF(Method_Cetin=TRUE,IF(Option_PL_FSL="FSL",'PB Liquefaction Initiation'!K48,IF(Option_PL_FSL="PL",'PB Liquefaction Initiation'!L48,NA())),NA())</f>
        <v>0.23106955639281196</v>
      </c>
      <c r="T31" s="397">
        <f>IF(AND(Method_Cetin=TRUE,'Final Summary'!J31&lt;&gt;""),IF(units=1,'PB Settlement'!AI41,CONVERT('PB Settlement'!AI41,"cm","in")),NA())</f>
        <v>6.3247629613227909</v>
      </c>
      <c r="U31" s="250">
        <f>IF(Inputs!$B18="","",Inputs!$B18)</f>
        <v>25.5</v>
      </c>
      <c r="V31" s="257">
        <f ca="1">IF(Method_BI=TRUE,IF('PB Liquefaction Initiation'!$F15="",NA(),'PB Liquefaction Initiation'!$F15),NA())</f>
        <v>29.14039966028972</v>
      </c>
      <c r="W31" s="254">
        <f>IF(Method_BI=TRUE,IF(Inputs!J18="No",NA(),'Det Liquefaction Initiation'!P15),NA())</f>
        <v>33.668972015380859</v>
      </c>
      <c r="X31" s="255">
        <f ca="1">IF(Method_BI=TRUE,'Det Liquefaction Initiation'!S15,NA())</f>
        <v>0.64883549021389109</v>
      </c>
      <c r="Y31" s="256">
        <f ca="1">IF(Method_BI=TRUE,IF(Option_PL_FSL="FSL",'Det Liquefaction Initiation'!Q15,'Det Liquefaction Initiation'!R15),NA())</f>
        <v>0.58107357361902523</v>
      </c>
      <c r="Z31" s="438">
        <f ca="1">IF(Det_Liq_Option=FALSE,NA(),IF(AND(Method_BI=TRUE,U31&lt;&gt;""),IF(units=1,'Det Settlement'!U12,CONVERT('Det Settlement'!U12,"cm","in")),NA()))</f>
        <v>4.939580636283611</v>
      </c>
      <c r="AA31" s="250">
        <f>IF(Method_Cetin=TRUE,'PB Liquefaction Initiation'!$D48,NA())</f>
        <v>30.426482551232123</v>
      </c>
      <c r="AB31" s="250">
        <f>IF(Method_Cetin=TRUE,'Det Liquefaction Initiation'!K48,NA())</f>
        <v>42.55745264001893</v>
      </c>
      <c r="AC31" s="251">
        <f>IF(Method_Cetin=TRUE,'Det Liquefaction Initiation'!N48,NA())</f>
        <v>0.93257751573693215</v>
      </c>
      <c r="AD31" s="252">
        <f>IF(Method_Cetin=TRUE,IF(Option_PL_FSL="FSL",'Det Liquefaction Initiation'!L48,'Det Liquefaction Initiation'!M48),NA())</f>
        <v>0.6676171516200663</v>
      </c>
      <c r="AE31" s="397">
        <f>IF(Det_Liq_Option=FALSE,NA(),IF(AND(Method_Cetin=TRUE,'Final Summary'!U31&lt;&gt;""),IF(units=1,'Det Settlement'!U38,CONVERT('Det Settlement'!U38,"cm","in")),NA()))</f>
        <v>6.6722732408434187</v>
      </c>
      <c r="AF31" s="150" t="s">
        <v>137</v>
      </c>
      <c r="AG31" s="76" t="str">
        <f>IF(Class="","",Class)</f>
        <v>D</v>
      </c>
      <c r="AH31" s="142"/>
      <c r="AI31" s="142"/>
      <c r="AJ31" s="142"/>
      <c r="AK31" s="142"/>
      <c r="AL31" s="142"/>
      <c r="AM31" s="142"/>
      <c r="AN31" s="142"/>
    </row>
    <row r="32" spans="1:40" x14ac:dyDescent="0.25">
      <c r="A32" s="404" t="s">
        <v>199</v>
      </c>
      <c r="B32" s="142"/>
      <c r="C32" s="145"/>
      <c r="D32" s="142"/>
      <c r="E32" s="142"/>
      <c r="F32" s="152" t="s">
        <v>16</v>
      </c>
      <c r="G32" s="71"/>
      <c r="H32" s="71"/>
      <c r="I32" s="142"/>
      <c r="J32" s="253">
        <f>IF(Inputs!$B19="","",Inputs!$B19)</f>
        <v>30.5</v>
      </c>
      <c r="K32" s="254">
        <f ca="1">IF(Method_BI=TRUE,IF('PB Liquefaction Initiation'!$F16="",NA(),'PB Liquefaction Initiation'!$F16),NA())</f>
        <v>21.337630575889257</v>
      </c>
      <c r="L32" s="254">
        <f>IF(AND(Method_BI=TRUE,Inputs!J19="Yes"),'PB Liquefaction Initiation'!S16,NA())</f>
        <v>26.725074768066406</v>
      </c>
      <c r="M32" s="255">
        <f ca="1">IF(Method_BI=TRUE,IF('PB Liquefaction Initiation'!P16="","",'PB Liquefaction Initiation'!P16),NA())</f>
        <v>0.38434246369067387</v>
      </c>
      <c r="N32" s="256">
        <f ca="1">IF(Method_BI=TRUE,IF(Option_PL_FSL="FSL",'PB Liquefaction Initiation'!R16,IF(Option_PL_FSL="PL",'PB Liquefaction Initiation'!T16,NA())),NA())</f>
        <v>0.66174912583443657</v>
      </c>
      <c r="O32" s="396">
        <f ca="1">IF(AND(Method_BI=TRUE,J32&lt;&gt;""),IF(units=1,'PB Settlement'!AI14,CONVERT('PB Settlement'!AI14,"cm","in")),NA())</f>
        <v>7.0901023156942484</v>
      </c>
      <c r="P32" s="250">
        <f>IF(Method_Cetin=TRUE,'PB Liquefaction Initiation'!$D49,NA())</f>
        <v>20.884133717749325</v>
      </c>
      <c r="Q32" s="250">
        <f>IF(Method_Cetin=TRUE,'PB Liquefaction Initiation'!J49,NA())</f>
        <v>50.3009279074316</v>
      </c>
      <c r="R32" s="251">
        <f>IF(Method_Cetin=TRUE,'PB Liquefaction Initiation'!M49,NA())</f>
        <v>2.1275275435569823</v>
      </c>
      <c r="S32" s="252">
        <f>IF(Method_Cetin=TRUE,IF(Option_PL_FSL="FSL",'PB Liquefaction Initiation'!K49,IF(Option_PL_FSL="PL",'PB Liquefaction Initiation'!L49,NA())),NA())</f>
        <v>0.11845791274525296</v>
      </c>
      <c r="T32" s="397">
        <f>IF(AND(Method_Cetin=TRUE,'Final Summary'!J32&lt;&gt;""),IF(units=1,'PB Settlement'!AI42,CONVERT('PB Settlement'!AI42,"cm","in")),NA())</f>
        <v>5.6842877773395797</v>
      </c>
      <c r="U32" s="250">
        <f>IF(Inputs!$B19="","",Inputs!$B19)</f>
        <v>30.5</v>
      </c>
      <c r="V32" s="257">
        <f ca="1">IF(Method_BI=TRUE,IF('PB Liquefaction Initiation'!$F16="",NA(),'PB Liquefaction Initiation'!$F16),NA())</f>
        <v>21.337630575889257</v>
      </c>
      <c r="W32" s="254">
        <f>IF(Method_BI=TRUE,IF(Inputs!J19="No",NA(),'Det Liquefaction Initiation'!P16),NA())</f>
        <v>34.15599250793457</v>
      </c>
      <c r="X32" s="255">
        <f ca="1">IF(Method_BI=TRUE,'Det Liquefaction Initiation'!S16,NA())</f>
        <v>0.71089441090745842</v>
      </c>
      <c r="Y32" s="256">
        <f ca="1">IF(Method_BI=TRUE,IF(Option_PL_FSL="FSL",'Det Liquefaction Initiation'!Q16,'Det Liquefaction Initiation'!R16),NA())</f>
        <v>0.27162753281988083</v>
      </c>
      <c r="Z32" s="438">
        <f ca="1">IF(Det_Liq_Option=FALSE,NA(),IF(AND(Method_BI=TRUE,U32&lt;&gt;""),IF(units=1,'Det Settlement'!U13,CONVERT('Det Settlement'!U13,"cm","in")),NA()))</f>
        <v>4.5567096438495707</v>
      </c>
      <c r="AA32" s="250">
        <f>IF(Method_Cetin=TRUE,'PB Liquefaction Initiation'!$D49,NA())</f>
        <v>20.884133717749325</v>
      </c>
      <c r="AB32" s="250">
        <f>IF(Method_Cetin=TRUE,'Det Liquefaction Initiation'!K49,NA())</f>
        <v>43.150591476199544</v>
      </c>
      <c r="AC32" s="251">
        <f>IF(Method_Cetin=TRUE,'Det Liquefaction Initiation'!N49,NA())</f>
        <v>0.92645544117795442</v>
      </c>
      <c r="AD32" s="252">
        <f>IF(Method_Cetin=TRUE,IF(Option_PL_FSL="FSL",'Det Liquefaction Initiation'!L49,'Det Liquefaction Initiation'!M49),NA())</f>
        <v>0.32012983712466553</v>
      </c>
      <c r="AE32" s="397">
        <f>IF(Det_Liq_Option=FALSE,NA(),IF(AND(Method_Cetin=TRUE,'Final Summary'!U32&lt;&gt;""),IF(units=1,'Det Settlement'!U39,CONVERT('Det Settlement'!U39,"cm","in")),NA()))</f>
        <v>5.9265968427560916</v>
      </c>
      <c r="AF32" s="142"/>
      <c r="AG32" s="142"/>
      <c r="AH32" s="142"/>
      <c r="AI32" s="142"/>
      <c r="AJ32" s="142"/>
      <c r="AK32" s="142"/>
      <c r="AL32" s="142"/>
      <c r="AM32" s="142"/>
      <c r="AN32" s="142"/>
    </row>
    <row r="33" spans="1:40" x14ac:dyDescent="0.25">
      <c r="A33" s="145"/>
      <c r="B33" s="145"/>
      <c r="C33" s="145"/>
      <c r="D33" s="142"/>
      <c r="E33" s="142"/>
      <c r="F33" s="71"/>
      <c r="G33" s="71"/>
      <c r="H33" s="71"/>
      <c r="I33" s="142"/>
      <c r="J33" s="253">
        <f>IF(Inputs!$B20="","",Inputs!$B20)</f>
        <v>35.5</v>
      </c>
      <c r="K33" s="254">
        <f ca="1">IF(Method_BI=TRUE,IF('PB Liquefaction Initiation'!$F17="",NA(),'PB Liquefaction Initiation'!$F17),NA())</f>
        <v>9.4876390112066709</v>
      </c>
      <c r="L33" s="254">
        <f>IF(AND(Method_BI=TRUE,Inputs!J20="Yes"),'PB Liquefaction Initiation'!S17,NA())</f>
        <v>27.469764709472656</v>
      </c>
      <c r="M33" s="255">
        <f ca="1">IF(Method_BI=TRUE,IF('PB Liquefaction Initiation'!P17="","",'PB Liquefaction Initiation'!P17),NA())</f>
        <v>0.41343030456417246</v>
      </c>
      <c r="N33" s="256">
        <f ca="1">IF(Method_BI=TRUE,IF(Option_PL_FSL="FSL",'PB Liquefaction Initiation'!R17,IF(Option_PL_FSL="PL",'PB Liquefaction Initiation'!T17,NA())),NA())</f>
        <v>0.31547101888912921</v>
      </c>
      <c r="O33" s="396">
        <f ca="1">IF(AND(Method_BI=TRUE,J33&lt;&gt;""),IF(units=1,'PB Settlement'!AI15,CONVERT('PB Settlement'!AI15,"cm","in")),NA())</f>
        <v>5.6686338423258835</v>
      </c>
      <c r="P33" s="250">
        <f>IF(Method_Cetin=TRUE,'PB Liquefaction Initiation'!$D50,NA())</f>
        <v>9.1514758932516074</v>
      </c>
      <c r="Q33" s="250">
        <f>IF(Method_Cetin=TRUE,'PB Liquefaction Initiation'!J50,NA())</f>
        <v>49.75511132234022</v>
      </c>
      <c r="R33" s="251">
        <f>IF(Method_Cetin=TRUE,'PB Liquefaction Initiation'!M50,NA())</f>
        <v>1.9607514306875602</v>
      </c>
      <c r="S33" s="252">
        <f>IF(Method_Cetin=TRUE,IF(Option_PL_FSL="FSL",'PB Liquefaction Initiation'!K50,IF(Option_PL_FSL="PL",'PB Liquefaction Initiation'!L50,NA())),NA())</f>
        <v>5.2632258672442339E-2</v>
      </c>
      <c r="T33" s="397">
        <f>IF(AND(Method_Cetin=TRUE,'Final Summary'!J33&lt;&gt;""),IF(units=1,'PB Settlement'!AI43,CONVERT('PB Settlement'!AI43,"cm","in")),NA())</f>
        <v>3.7703095798413702</v>
      </c>
      <c r="U33" s="250">
        <f>IF(Inputs!$B20="","",Inputs!$B20)</f>
        <v>35.5</v>
      </c>
      <c r="V33" s="257">
        <f ca="1">IF(Method_BI=TRUE,IF('PB Liquefaction Initiation'!$F17="",NA(),'PB Liquefaction Initiation'!$F17),NA())</f>
        <v>9.4876390112066709</v>
      </c>
      <c r="W33" s="254">
        <f>IF(Method_BI=TRUE,IF(Inputs!J20="No",NA(),'Det Liquefaction Initiation'!P17),NA())</f>
        <v>34.513477325439453</v>
      </c>
      <c r="X33" s="255">
        <f ca="1">IF(Method_BI=TRUE,'Det Liquefaction Initiation'!S17,NA())</f>
        <v>0.76226618833284232</v>
      </c>
      <c r="Y33" s="256">
        <f ca="1">IF(Method_BI=TRUE,IF(Option_PL_FSL="FSL",'Det Liquefaction Initiation'!Q17,'Det Liquefaction Initiation'!R17),NA())</f>
        <v>0.12990392170651952</v>
      </c>
      <c r="Z33" s="438">
        <f ca="1">IF(Det_Liq_Option=FALSE,NA(),IF(AND(Method_BI=TRUE,U33&lt;&gt;""),IF(units=1,'Det Settlement'!U14,CONVERT('Det Settlement'!U14,"cm","in")),NA()))</f>
        <v>3.0056729797070396</v>
      </c>
      <c r="AA33" s="250">
        <f>IF(Method_Cetin=TRUE,'PB Liquefaction Initiation'!$D50,NA())</f>
        <v>9.1514758932516074</v>
      </c>
      <c r="AB33" s="250">
        <f>IF(Method_Cetin=TRUE,'Det Liquefaction Initiation'!K50,NA())</f>
        <v>43.626351273603085</v>
      </c>
      <c r="AC33" s="251">
        <f>IF(Method_Cetin=TRUE,'Det Liquefaction Initiation'!N50,NA())</f>
        <v>0.91948539635050286</v>
      </c>
      <c r="AD33" s="252">
        <f>IF(Method_Cetin=TRUE,IF(Option_PL_FSL="FSL",'Det Liquefaction Initiation'!L50,'Det Liquefaction Initiation'!M50),NA())</f>
        <v>0.13208123927108129</v>
      </c>
      <c r="AE33" s="397">
        <f>IF(Det_Liq_Option=FALSE,NA(),IF(AND(Method_Cetin=TRUE,'Final Summary'!U33&lt;&gt;""),IF(units=1,'Det Settlement'!U40,CONVERT('Det Settlement'!U40,"cm","in")),NA()))</f>
        <v>3.7460448751286823</v>
      </c>
      <c r="AF33" s="142"/>
      <c r="AG33" s="142"/>
      <c r="AH33" s="142"/>
      <c r="AI33" s="142"/>
      <c r="AJ33" s="142"/>
      <c r="AK33" s="142"/>
      <c r="AL33" s="142"/>
      <c r="AM33" s="142"/>
      <c r="AN33" s="142"/>
    </row>
    <row r="34" spans="1:40" ht="17.25" customHeight="1" x14ac:dyDescent="0.25">
      <c r="A34" s="148" t="s">
        <v>15</v>
      </c>
      <c r="B34" s="75">
        <f>IF(PGA_prob="","",PGA_prob)</f>
        <v>0.44</v>
      </c>
      <c r="C34" s="145"/>
      <c r="D34" s="142"/>
      <c r="E34" s="142"/>
      <c r="F34" s="69" t="s">
        <v>95</v>
      </c>
      <c r="G34" s="402">
        <f>IF(CSR_ref_BI="","",CSR_ref_BI)</f>
        <v>35.14</v>
      </c>
      <c r="H34" s="71"/>
      <c r="I34" s="142"/>
      <c r="J34" s="253">
        <f>IF(Inputs!$B21="","",Inputs!$B21)</f>
        <v>41</v>
      </c>
      <c r="K34" s="254">
        <f ca="1">IF(Method_BI=TRUE,IF('PB Liquefaction Initiation'!$F18="",NA(),'PB Liquefaction Initiation'!$F18),NA())</f>
        <v>7.3030476983682764</v>
      </c>
      <c r="L34" s="254" t="e">
        <f>IF(AND(Method_BI=TRUE,Inputs!J21="Yes"),'PB Liquefaction Initiation'!S18,NA())</f>
        <v>#N/A</v>
      </c>
      <c r="M34" s="255" t="e">
        <f ca="1">IF(Method_BI=TRUE,IF('PB Liquefaction Initiation'!P18="","",'PB Liquefaction Initiation'!P18),NA())</f>
        <v>#N/A</v>
      </c>
      <c r="N34" s="256" t="e">
        <f ca="1">IF(Method_BI=TRUE,IF(Option_PL_FSL="FSL",'PB Liquefaction Initiation'!R18,IF(Option_PL_FSL="PL",'PB Liquefaction Initiation'!T18,NA())),NA())</f>
        <v>#N/A</v>
      </c>
      <c r="O34" s="396">
        <f ca="1">IF(AND(Method_BI=TRUE,J34&lt;&gt;""),IF(units=1,'PB Settlement'!AI16,CONVERT('PB Settlement'!AI16,"cm","in")),NA())</f>
        <v>4.3024633872849156</v>
      </c>
      <c r="P34" s="250">
        <f>IF(Method_Cetin=TRUE,'PB Liquefaction Initiation'!$D51,NA())</f>
        <v>4.144728715335928</v>
      </c>
      <c r="Q34" s="250" t="e">
        <f>IF(Method_Cetin=TRUE,'PB Liquefaction Initiation'!J51,NA())</f>
        <v>#N/A</v>
      </c>
      <c r="R34" s="251" t="e">
        <f>IF(Method_Cetin=TRUE,'PB Liquefaction Initiation'!M51,NA())</f>
        <v>#N/A</v>
      </c>
      <c r="S34" s="252" t="e">
        <f>IF(Method_Cetin=TRUE,IF(Option_PL_FSL="FSL",'PB Liquefaction Initiation'!K51,IF(Option_PL_FSL="PL",'PB Liquefaction Initiation'!L51,NA())),NA())</f>
        <v>#N/A</v>
      </c>
      <c r="T34" s="397">
        <f>IF(AND(Method_Cetin=TRUE,'Final Summary'!J34&lt;&gt;""),IF(units=1,'PB Settlement'!AI44,CONVERT('PB Settlement'!AI44,"cm","in")),NA())</f>
        <v>2.5314924169812505</v>
      </c>
      <c r="U34" s="250">
        <f>IF(Inputs!$B21="","",Inputs!$B21)</f>
        <v>41</v>
      </c>
      <c r="V34" s="257">
        <f ca="1">IF(Method_BI=TRUE,IF('PB Liquefaction Initiation'!$F18="",NA(),'PB Liquefaction Initiation'!$F18),NA())</f>
        <v>7.3030476983682764</v>
      </c>
      <c r="W34" s="254" t="e">
        <f>IF(Method_BI=TRUE,IF(Inputs!J21="No",NA(),'Det Liquefaction Initiation'!P18),NA())</f>
        <v>#N/A</v>
      </c>
      <c r="X34" s="255" t="e">
        <f>IF(Method_BI=TRUE,'Det Liquefaction Initiation'!S18,NA())</f>
        <v>#N/A</v>
      </c>
      <c r="Y34" s="256" t="e">
        <f ca="1">IF(Method_BI=TRUE,IF(Option_PL_FSL="FSL",'Det Liquefaction Initiation'!Q18,'Det Liquefaction Initiation'!R18),NA())</f>
        <v>#N/A</v>
      </c>
      <c r="Z34" s="438">
        <f ca="1">IF(Det_Liq_Option=FALSE,NA(),IF(AND(Method_BI=TRUE,U34&lt;&gt;""),IF(units=1,'Det Settlement'!U15,CONVERT('Det Settlement'!U15,"cm","in")),NA()))</f>
        <v>2.0380879537433767</v>
      </c>
      <c r="AA34" s="250">
        <f>IF(Method_Cetin=TRUE,'PB Liquefaction Initiation'!$D51,NA())</f>
        <v>4.144728715335928</v>
      </c>
      <c r="AB34" s="250" t="e">
        <f>IF(Method_Cetin=TRUE,'Det Liquefaction Initiation'!K51,NA())</f>
        <v>#N/A</v>
      </c>
      <c r="AC34" s="251" t="e">
        <f>IF(Method_Cetin=TRUE,'Det Liquefaction Initiation'!N51,NA())</f>
        <v>#N/A</v>
      </c>
      <c r="AD34" s="252" t="e">
        <f>IF(Method_Cetin=TRUE,IF(Option_PL_FSL="FSL",'Det Liquefaction Initiation'!L51,'Det Liquefaction Initiation'!M51),NA())</f>
        <v>#N/A</v>
      </c>
      <c r="AE34" s="397">
        <f>IF(Det_Liq_Option=FALSE,NA(),IF(AND(Method_Cetin=TRUE,'Final Summary'!U34&lt;&gt;""),IF(units=1,'Det Settlement'!U41,CONVERT('Det Settlement'!U41,"cm","in")),NA()))</f>
        <v>2.4524575293648705</v>
      </c>
      <c r="AF34" s="444" t="s">
        <v>358</v>
      </c>
      <c r="AG34" s="142"/>
      <c r="AH34" s="142"/>
      <c r="AI34" s="142"/>
      <c r="AJ34" s="142"/>
      <c r="AK34" s="142"/>
      <c r="AL34" s="142"/>
      <c r="AM34" s="142"/>
      <c r="AN34" s="142"/>
    </row>
    <row r="35" spans="1:40" ht="17.25" customHeight="1" x14ac:dyDescent="0.35">
      <c r="A35" s="149" t="s">
        <v>159</v>
      </c>
      <c r="B35" s="154">
        <f>IF(Fpga="","",Fpga)</f>
        <v>1.06</v>
      </c>
      <c r="C35" s="142"/>
      <c r="D35" s="142"/>
      <c r="E35" s="142"/>
      <c r="F35" s="69" t="s">
        <v>96</v>
      </c>
      <c r="G35" s="402">
        <f>IF(Nreq_ref_Cet="","",Nreq_ref_Cet)</f>
        <v>49.09</v>
      </c>
      <c r="H35" s="71"/>
      <c r="I35" s="142"/>
      <c r="J35" s="253">
        <f>IF(Inputs!$B22="","",Inputs!$B22)</f>
        <v>45</v>
      </c>
      <c r="K35" s="254">
        <f ca="1">IF(Method_BI=TRUE,IF('PB Liquefaction Initiation'!$F19="",NA(),'PB Liquefaction Initiation'!$F19),NA())</f>
        <v>1.6327566637818389</v>
      </c>
      <c r="L35" s="254">
        <f>IF(AND(Method_BI=TRUE,Inputs!J22="Yes"),'PB Liquefaction Initiation'!S19,NA())</f>
        <v>27.121719360351563</v>
      </c>
      <c r="M35" s="255">
        <f ca="1">IF(Method_BI=TRUE,IF('PB Liquefaction Initiation'!P19="","",'PB Liquefaction Initiation'!P19),NA())</f>
        <v>0.3993356758905604</v>
      </c>
      <c r="N35" s="256">
        <f ca="1">IF(Method_BI=TRUE,IF(Option_PL_FSL="FSL",'PB Liquefaction Initiation'!R19,IF(Option_PL_FSL="PL",'PB Liquefaction Initiation'!T19,NA())),NA())</f>
        <v>0.19468062364165611</v>
      </c>
      <c r="O35" s="396">
        <f ca="1">IF(AND(Method_BI=TRUE,J35&lt;&gt;""),IF(units=1,'PB Settlement'!AI17,CONVERT('PB Settlement'!AI17,"cm","in")),NA())</f>
        <v>4.3024633872849156</v>
      </c>
      <c r="P35" s="250">
        <f>IF(Method_Cetin=TRUE,'PB Liquefaction Initiation'!$D52,NA())</f>
        <v>2.0632593460236448</v>
      </c>
      <c r="Q35" s="250">
        <f>IF(Method_Cetin=TRUE,'PB Liquefaction Initiation'!J52,NA())</f>
        <v>48.692972152870666</v>
      </c>
      <c r="R35" s="251">
        <f>IF(Method_Cetin=TRUE,'PB Liquefaction Initiation'!M52,NA())</f>
        <v>1.6999817010556288</v>
      </c>
      <c r="S35" s="252">
        <f>IF(Method_Cetin=TRUE,IF(Option_PL_FSL="FSL",'PB Liquefaction Initiation'!K52,IF(Option_PL_FSL="PL",'PB Liquefaction Initiation'!L52,NA())),NA())</f>
        <v>3.399931176180504E-2</v>
      </c>
      <c r="T35" s="397">
        <f>IF(AND(Method_Cetin=TRUE,'Final Summary'!J35&lt;&gt;""),IF(units=1,'PB Settlement'!AI45,CONVERT('PB Settlement'!AI45,"cm","in")),NA())</f>
        <v>2.5314924169812505</v>
      </c>
      <c r="U35" s="250">
        <f>IF(Inputs!$B22="","",Inputs!$B22)</f>
        <v>45</v>
      </c>
      <c r="V35" s="257">
        <f ca="1">IF(Method_BI=TRUE,IF('PB Liquefaction Initiation'!$F19="",NA(),'PB Liquefaction Initiation'!$F19),NA())</f>
        <v>1.6327566637818389</v>
      </c>
      <c r="W35" s="254">
        <f>IF(Method_BI=TRUE,IF(Inputs!J22="No",NA(),'Det Liquefaction Initiation'!P19),NA())</f>
        <v>34.336931228637695</v>
      </c>
      <c r="X35" s="255">
        <f ca="1">IF(Method_BI=TRUE,'Det Liquefaction Initiation'!S19,NA())</f>
        <v>0.73623162212844251</v>
      </c>
      <c r="Y35" s="256">
        <f ca="1">IF(Method_BI=TRUE,IF(Option_PL_FSL="FSL",'Det Liquefaction Initiation'!Q19,'Det Liquefaction Initiation'!R19),NA())</f>
        <v>8.0170301250297227E-2</v>
      </c>
      <c r="Z35" s="438">
        <f ca="1">IF(Det_Liq_Option=FALSE,NA(),IF(AND(Method_BI=TRUE,U35&lt;&gt;""),IF(units=1,'Det Settlement'!U16,CONVERT('Det Settlement'!U16,"cm","in")),NA()))</f>
        <v>2.0380879537433767</v>
      </c>
      <c r="AA35" s="250">
        <f>IF(Method_Cetin=TRUE,'PB Liquefaction Initiation'!$D52,NA())</f>
        <v>2.0632593460236448</v>
      </c>
      <c r="AB35" s="250">
        <f>IF(Method_Cetin=TRUE,'Det Liquefaction Initiation'!K52,NA())</f>
        <v>44.292057499753916</v>
      </c>
      <c r="AC35" s="251">
        <f>IF(Method_Cetin=TRUE,'Det Liquefaction Initiation'!N52,NA())</f>
        <v>0.90361270859979537</v>
      </c>
      <c r="AD35" s="252">
        <f>IF(Method_Cetin=TRUE,IF(Option_PL_FSL="FSL",'Det Liquefaction Initiation'!L52,'Det Liquefaction Initiation'!M52),NA())</f>
        <v>7.5273734828321059E-2</v>
      </c>
      <c r="AE35" s="397">
        <f>IF(Det_Liq_Option=FALSE,NA(),IF(AND(Method_Cetin=TRUE,'Final Summary'!U35&lt;&gt;""),IF(units=1,'Det Settlement'!U42,CONVERT('Det Settlement'!U42,"cm","in")),NA()))</f>
        <v>2.4524575293648705</v>
      </c>
      <c r="AF35" s="142"/>
      <c r="AG35" s="142"/>
      <c r="AH35" s="142"/>
      <c r="AI35" s="142"/>
      <c r="AJ35" s="142"/>
      <c r="AK35" s="142"/>
      <c r="AL35" s="142"/>
      <c r="AM35" s="142"/>
      <c r="AN35" s="142"/>
    </row>
    <row r="36" spans="1:40" ht="17.25" customHeight="1" x14ac:dyDescent="0.3">
      <c r="A36" s="148" t="s">
        <v>93</v>
      </c>
      <c r="B36" s="77">
        <f>IF(Mw_prob="","",Mw_prob)</f>
        <v>6.77</v>
      </c>
      <c r="C36" s="145"/>
      <c r="D36" s="142"/>
      <c r="E36" s="142"/>
      <c r="F36" s="239" t="s">
        <v>308</v>
      </c>
      <c r="G36" s="403">
        <f>IF(strain_ref_cetin="","",strain_ref_cetin)</f>
        <v>2.2999999999999998</v>
      </c>
      <c r="H36" s="71"/>
      <c r="I36" s="142"/>
      <c r="J36" s="253">
        <f>IF(Inputs!$B23="","",Inputs!$B23)</f>
        <v>51.5</v>
      </c>
      <c r="K36" s="254">
        <f ca="1">IF(Method_BI=TRUE,IF('PB Liquefaction Initiation'!$F20="",NA(),'PB Liquefaction Initiation'!$F20),NA())</f>
        <v>9.6599215676559655</v>
      </c>
      <c r="L36" s="254">
        <f>IF(AND(Method_BI=TRUE,Inputs!J23="Yes"),'PB Liquefaction Initiation'!S20,NA())</f>
        <v>26.560958862304688</v>
      </c>
      <c r="M36" s="255">
        <f ca="1">IF(Method_BI=TRUE,IF('PB Liquefaction Initiation'!P20="","",'PB Liquefaction Initiation'!P20),NA())</f>
        <v>0.37845267566951402</v>
      </c>
      <c r="N36" s="256">
        <f ca="1">IF(Method_BI=TRUE,IF(Option_PL_FSL="FSL",'PB Liquefaction Initiation'!R20,IF(Option_PL_FSL="PL",'PB Liquefaction Initiation'!T20,NA())),NA())</f>
        <v>0.34818708198556969</v>
      </c>
      <c r="O36" s="396">
        <f ca="1">IF(AND(Method_BI=TRUE,J36&lt;&gt;""),IF(units=1,'PB Settlement'!AI18,CONVERT('PB Settlement'!AI18,"cm","in")),NA())</f>
        <v>1.4594910027926975</v>
      </c>
      <c r="P36" s="250">
        <f>IF(Method_Cetin=TRUE,'PB Liquefaction Initiation'!$D53,NA())</f>
        <v>10.322847584760181</v>
      </c>
      <c r="Q36" s="250">
        <f>IF(Method_Cetin=TRUE,'PB Liquefaction Initiation'!J53,NA())</f>
        <v>48.264406886072805</v>
      </c>
      <c r="R36" s="251">
        <f>IF(Method_Cetin=TRUE,'PB Liquefaction Initiation'!M53,NA())</f>
        <v>1.5875075349827623</v>
      </c>
      <c r="S36" s="252">
        <f>IF(Method_Cetin=TRUE,IF(Option_PL_FSL="FSL",'PB Liquefaction Initiation'!K53,IF(Option_PL_FSL="PL",'PB Liquefaction Initiation'!L53,NA())),NA())</f>
        <v>6.3839566880304122E-2</v>
      </c>
      <c r="T36" s="397">
        <f>IF(AND(Method_Cetin=TRUE,'Final Summary'!J36&lt;&gt;""),IF(units=1,'PB Settlement'!AI46,CONVERT('PB Settlement'!AI46,"cm","in")),NA())</f>
        <v>1.0906612342889093</v>
      </c>
      <c r="U36" s="250">
        <f>IF(Inputs!$B23="","",Inputs!$B23)</f>
        <v>51.5</v>
      </c>
      <c r="V36" s="257">
        <f ca="1">IF(Method_BI=TRUE,IF('PB Liquefaction Initiation'!$F20="",NA(),'PB Liquefaction Initiation'!$F20),NA())</f>
        <v>9.6599215676559655</v>
      </c>
      <c r="W36" s="254">
        <f>IF(Method_BI=TRUE,IF(Inputs!J23="No",NA(),'Det Liquefaction Initiation'!P20),NA())</f>
        <v>34.066644668579102</v>
      </c>
      <c r="X36" s="255">
        <f ca="1">IF(Method_BI=TRUE,'Det Liquefaction Initiation'!S20,NA())</f>
        <v>0.69886017471582129</v>
      </c>
      <c r="Y36" s="256">
        <f ca="1">IF(Method_BI=TRUE,IF(Option_PL_FSL="FSL",'Det Liquefaction Initiation'!Q20,'Det Liquefaction Initiation'!R20),NA())</f>
        <v>0.14315320799813824</v>
      </c>
      <c r="Z36" s="438">
        <f ca="1">IF(Det_Liq_Option=FALSE,NA(),IF(AND(Method_BI=TRUE,U36&lt;&gt;""),IF(units=1,'Det Settlement'!U17,CONVERT('Det Settlement'!U17,"cm","in")),NA()))</f>
        <v>0.91533927204430754</v>
      </c>
      <c r="AA36" s="250">
        <f>IF(Method_Cetin=TRUE,'PB Liquefaction Initiation'!$D53,NA())</f>
        <v>10.322847584760181</v>
      </c>
      <c r="AB36" s="250">
        <f>IF(Method_Cetin=TRUE,'Det Liquefaction Initiation'!K53,NA())</f>
        <v>44.606581970585999</v>
      </c>
      <c r="AC36" s="251">
        <f>IF(Method_Cetin=TRUE,'Det Liquefaction Initiation'!N53,NA())</f>
        <v>0.89054594014891797</v>
      </c>
      <c r="AD36" s="252">
        <f>IF(Method_Cetin=TRUE,IF(Option_PL_FSL="FSL",'Det Liquefaction Initiation'!L53,'Det Liquefaction Initiation'!M53),NA())</f>
        <v>0.13392474304154969</v>
      </c>
      <c r="AE36" s="397">
        <f>IF(Det_Liq_Option=FALSE,NA(),IF(AND(Method_Cetin=TRUE,'Final Summary'!U36&lt;&gt;""),IF(units=1,'Det Settlement'!U43,CONVERT('Det Settlement'!U43,"cm","in")),NA()))</f>
        <v>1.1520365113268556</v>
      </c>
      <c r="AF36" s="592" t="s">
        <v>232</v>
      </c>
      <c r="AG36" s="593"/>
      <c r="AH36" s="593"/>
      <c r="AI36" s="446"/>
      <c r="AJ36" s="593" t="s">
        <v>233</v>
      </c>
      <c r="AK36" s="593"/>
      <c r="AL36" s="593"/>
      <c r="AM36" s="446"/>
      <c r="AN36" s="447"/>
    </row>
    <row r="37" spans="1:40" ht="17.25" customHeight="1" thickBot="1" x14ac:dyDescent="0.35">
      <c r="A37" s="148" t="s">
        <v>64</v>
      </c>
      <c r="B37" s="76">
        <f>IF(Vs12_prob="","",Vs12_prob)</f>
        <v>623</v>
      </c>
      <c r="C37" s="145" t="s">
        <v>32</v>
      </c>
      <c r="D37" s="142"/>
      <c r="E37" s="142"/>
      <c r="F37" s="239" t="s">
        <v>309</v>
      </c>
      <c r="G37" s="403">
        <f>IF(strain_ref_iy="","",strain_ref_iy)</f>
        <v>2.2999999999999998</v>
      </c>
      <c r="H37" s="71"/>
      <c r="I37" s="142"/>
      <c r="J37" s="253">
        <f>IF(Inputs!$B24="","",Inputs!$B24)</f>
        <v>57</v>
      </c>
      <c r="K37" s="254">
        <f ca="1">IF(Method_BI=TRUE,IF('PB Liquefaction Initiation'!$F21="",NA(),'PB Liquefaction Initiation'!$F21),NA())</f>
        <v>2.3758590121854533</v>
      </c>
      <c r="L37" s="254">
        <f>IF(AND(Method_BI=TRUE,Inputs!J24="Yes"),'PB Liquefaction Initiation'!S21,NA())</f>
        <v>26.304130554199219</v>
      </c>
      <c r="M37" s="255">
        <f ca="1">IF(Method_BI=TRUE,IF('PB Liquefaction Initiation'!P21="","",'PB Liquefaction Initiation'!P21),NA())</f>
        <v>0.36959317274726489</v>
      </c>
      <c r="N37" s="256">
        <f ca="1">IF(Method_BI=TRUE,IF(Option_PL_FSL="FSL",'PB Liquefaction Initiation'!R21,IF(Option_PL_FSL="PL",'PB Liquefaction Initiation'!T21,NA())),NA())</f>
        <v>0.22163239568277454</v>
      </c>
      <c r="O37" s="396">
        <f ca="1">IF(AND(Method_BI=TRUE,J37&lt;&gt;""),IF(units=1,'PB Settlement'!AI19,CONVERT('PB Settlement'!AI19,"cm","in")),NA())</f>
        <v>0.45487734387050432</v>
      </c>
      <c r="P37" s="250">
        <f>IF(Method_Cetin=TRUE,'PB Liquefaction Initiation'!$D54,NA())</f>
        <v>2.9720420997108414</v>
      </c>
      <c r="Q37" s="250">
        <f>IF(Method_Cetin=TRUE,'PB Liquefaction Initiation'!J54,NA())</f>
        <v>48.128747582366231</v>
      </c>
      <c r="R37" s="251">
        <f>IF(Method_Cetin=TRUE,'PB Liquefaction Initiation'!M54,NA())</f>
        <v>1.5283968779578039</v>
      </c>
      <c r="S37" s="252">
        <f>IF(Method_Cetin=TRUE,IF(Option_PL_FSL="FSL",'PB Liquefaction Initiation'!K54,IF(Option_PL_FSL="PL",'PB Liquefaction Initiation'!L54,NA())),NA())</f>
        <v>3.783207723839474E-2</v>
      </c>
      <c r="T37" s="397">
        <f>IF(AND(Method_Cetin=TRUE,'Final Summary'!J37&lt;&gt;""),IF(units=1,'PB Settlement'!AI47,CONVERT('PB Settlement'!AI47,"cm","in")),NA())</f>
        <v>0.24462612610704398</v>
      </c>
      <c r="U37" s="250">
        <f>IF(Inputs!$B24="","",Inputs!$B24)</f>
        <v>57</v>
      </c>
      <c r="V37" s="257">
        <f ca="1">IF(Method_BI=TRUE,IF('PB Liquefaction Initiation'!$F21="",NA(),'PB Liquefaction Initiation'!$F21),NA())</f>
        <v>2.3758590121854533</v>
      </c>
      <c r="W37" s="254">
        <f>IF(Method_BI=TRUE,IF(Inputs!J24="No",NA(),'Det Liquefaction Initiation'!P21),NA())</f>
        <v>33.938884735107422</v>
      </c>
      <c r="X37" s="255">
        <f ca="1">IF(Method_BI=TRUE,'Det Liquefaction Initiation'!S21,NA())</f>
        <v>0.68217702333422126</v>
      </c>
      <c r="Y37" s="256">
        <f ca="1">IF(Method_BI=TRUE,IF(Option_PL_FSL="FSL",'Det Liquefaction Initiation'!Q21,'Det Liquefaction Initiation'!R21),NA())</f>
        <v>9.1164811049488759E-2</v>
      </c>
      <c r="Z37" s="438">
        <f ca="1">IF(Det_Liq_Option=FALSE,NA(),IF(AND(Method_BI=TRUE,U37&lt;&gt;""),IF(units=1,'Det Settlement'!U18,CONVERT('Det Settlement'!U18,"cm","in")),NA()))</f>
        <v>0.19860139281995717</v>
      </c>
      <c r="AA37" s="250">
        <f>IF(Method_Cetin=TRUE,'PB Liquefaction Initiation'!$D54,NA())</f>
        <v>2.9720420997108414</v>
      </c>
      <c r="AB37" s="250">
        <f>IF(Method_Cetin=TRUE,'Det Liquefaction Initiation'!K54,NA())</f>
        <v>44.798084490646112</v>
      </c>
      <c r="AC37" s="251">
        <f>IF(Method_Cetin=TRUE,'Det Liquefaction Initiation'!N54,NA())</f>
        <v>0.87797090607324668</v>
      </c>
      <c r="AD37" s="252">
        <f>IF(Method_Cetin=TRUE,IF(Option_PL_FSL="FSL",'Det Liquefaction Initiation'!L54,'Det Liquefaction Initiation'!M54),NA())</f>
        <v>7.7504626482994235E-2</v>
      </c>
      <c r="AE37" s="397">
        <f>IF(Det_Liq_Option=FALSE,NA(),IF(AND(Method_Cetin=TRUE,'Final Summary'!U37&lt;&gt;""),IF(units=1,'Det Settlement'!U44,CONVERT('Det Settlement'!U44,"cm","in")),NA()))</f>
        <v>0.23040130867282385</v>
      </c>
      <c r="AF37" s="594"/>
      <c r="AG37" s="595"/>
      <c r="AH37" s="595"/>
      <c r="AI37" s="562"/>
      <c r="AJ37" s="595"/>
      <c r="AK37" s="595"/>
      <c r="AL37" s="595"/>
      <c r="AM37" s="562"/>
      <c r="AN37" s="448"/>
    </row>
    <row r="38" spans="1:40" ht="16.5" x14ac:dyDescent="0.25">
      <c r="A38" s="150" t="s">
        <v>137</v>
      </c>
      <c r="B38" s="76" t="str">
        <f>IF(Class="","",Class)</f>
        <v>D</v>
      </c>
      <c r="C38" s="142"/>
      <c r="D38" s="142"/>
      <c r="E38" s="142"/>
      <c r="F38" s="69" t="s">
        <v>97</v>
      </c>
      <c r="G38" s="78">
        <f>IF(Tr="","",Tr)</f>
        <v>2475</v>
      </c>
      <c r="H38" s="142" t="s">
        <v>304</v>
      </c>
      <c r="I38" s="142"/>
      <c r="J38" s="253" t="str">
        <f>IF(Inputs!$B25="","",Inputs!$B25)</f>
        <v/>
      </c>
      <c r="K38" s="254" t="e">
        <f>IF(Method_BI=TRUE,IF('PB Liquefaction Initiation'!$F22="",NA(),'PB Liquefaction Initiation'!$F22),NA())</f>
        <v>#N/A</v>
      </c>
      <c r="L38" s="254" t="e">
        <f>IF(AND(Method_BI=TRUE,Inputs!J25="Yes"),'PB Liquefaction Initiation'!S22,NA())</f>
        <v>#N/A</v>
      </c>
      <c r="M38" s="255" t="e">
        <f>IF(Method_BI=TRUE,IF('PB Liquefaction Initiation'!P22="","",'PB Liquefaction Initiation'!P22),NA())</f>
        <v>#N/A</v>
      </c>
      <c r="N38" s="256" t="e">
        <f>IF(Method_BI=TRUE,IF(Option_PL_FSL="FSL",'PB Liquefaction Initiation'!R22,IF(Option_PL_FSL="PL",'PB Liquefaction Initiation'!T22,NA())),NA())</f>
        <v>#N/A</v>
      </c>
      <c r="O38" s="396" t="e">
        <f>IF(AND(Method_BI=TRUE,J38&lt;&gt;""),IF(units=1,'PB Settlement'!AI20,CONVERT('PB Settlement'!AI20,"cm","in")),NA())</f>
        <v>#N/A</v>
      </c>
      <c r="P38" s="250" t="e">
        <f>IF(Method_Cetin=TRUE,'PB Liquefaction Initiation'!$D55,NA())</f>
        <v>#N/A</v>
      </c>
      <c r="Q38" s="250" t="e">
        <f>IF(Method_Cetin=TRUE,'PB Liquefaction Initiation'!J55,NA())</f>
        <v>#N/A</v>
      </c>
      <c r="R38" s="251" t="e">
        <f>IF(Method_Cetin=TRUE,'PB Liquefaction Initiation'!M55,NA())</f>
        <v>#N/A</v>
      </c>
      <c r="S38" s="252" t="e">
        <f>IF(Method_Cetin=TRUE,IF(Option_PL_FSL="FSL",'PB Liquefaction Initiation'!K55,IF(Option_PL_FSL="PL",'PB Liquefaction Initiation'!L55,NA())),NA())</f>
        <v>#N/A</v>
      </c>
      <c r="T38" s="397" t="e">
        <f>IF(AND(Method_Cetin=TRUE,'Final Summary'!J38&lt;&gt;""),IF(units=1,'PB Settlement'!AI48,CONVERT('PB Settlement'!AI48,"cm","in")),NA())</f>
        <v>#N/A</v>
      </c>
      <c r="U38" s="250" t="str">
        <f>IF(Inputs!$B25="","",Inputs!$B25)</f>
        <v/>
      </c>
      <c r="V38" s="257" t="e">
        <f>IF(Method_BI=TRUE,IF('PB Liquefaction Initiation'!$F22="",NA(),'PB Liquefaction Initiation'!$F22),NA())</f>
        <v>#N/A</v>
      </c>
      <c r="W38" s="254" t="e">
        <f>IF(Method_BI=TRUE,IF(Inputs!J25="No",NA(),'Det Liquefaction Initiation'!P22),NA())</f>
        <v>#N/A</v>
      </c>
      <c r="X38" s="255" t="e">
        <f>IF(Method_BI=TRUE,'Det Liquefaction Initiation'!S22,NA())</f>
        <v>#N/A</v>
      </c>
      <c r="Y38" s="256" t="e">
        <f>IF(Method_BI=TRUE,IF(Option_PL_FSL="FSL",'Det Liquefaction Initiation'!Q22,'Det Liquefaction Initiation'!R22),NA())</f>
        <v>#N/A</v>
      </c>
      <c r="Z38" s="438" t="e">
        <f>IF(Det_Liq_Option=FALSE,NA(),IF(AND(Method_BI=TRUE,U38&lt;&gt;""),IF(units=1,'Det Settlement'!U19,CONVERT('Det Settlement'!U19,"cm","in")),NA()))</f>
        <v>#N/A</v>
      </c>
      <c r="AA38" s="250" t="e">
        <f>IF(Method_Cetin=TRUE,'PB Liquefaction Initiation'!$D55,NA())</f>
        <v>#N/A</v>
      </c>
      <c r="AB38" s="250" t="e">
        <f>IF(Method_Cetin=TRUE,'Det Liquefaction Initiation'!K55,NA())</f>
        <v>#N/A</v>
      </c>
      <c r="AC38" s="251" t="e">
        <f>IF(Method_Cetin=TRUE,'Det Liquefaction Initiation'!N55,NA())</f>
        <v>#N/A</v>
      </c>
      <c r="AD38" s="252" t="e">
        <f>IF(Method_Cetin=TRUE,IF(Option_PL_FSL="FSL",'Det Liquefaction Initiation'!L55,'Det Liquefaction Initiation'!M55),NA())</f>
        <v>#N/A</v>
      </c>
      <c r="AE38" s="397" t="e">
        <f>IF(Det_Liq_Option=FALSE,NA(),IF(AND(Method_Cetin=TRUE,'Final Summary'!U38&lt;&gt;""),IF(units=1,'Det Settlement'!U45,CONVERT('Det Settlement'!U45,"cm","in")),NA()))</f>
        <v>#N/A</v>
      </c>
      <c r="AF38" s="449"/>
      <c r="AG38" s="621" t="s">
        <v>364</v>
      </c>
      <c r="AH38" s="602">
        <f>IF(AND('Slope Displacement'!C8&lt;=0.1,'Slope Displacement'!C6&lt;=0.17),NA(),IF(Simp_SS_Option=TRUE,IF(units=2,CONVERT(Simp_RS,"cm","in"),Simp_RS),NA()))</f>
        <v>0.19667864595172022</v>
      </c>
      <c r="AI38" s="622" t="str">
        <f>IF(units=1,"cm","in")</f>
        <v>in</v>
      </c>
      <c r="AJ38" s="443"/>
      <c r="AK38" s="621" t="s">
        <v>362</v>
      </c>
      <c r="AL38" s="602">
        <f>IF(Det_SS_option=TRUE,IF(units=2,CONVERT(Det_RS,"cm","in"),Det_RS),NA())</f>
        <v>26.872952765346021</v>
      </c>
      <c r="AM38" s="622" t="str">
        <f>IF(units=1,"cm","in")</f>
        <v>in</v>
      </c>
      <c r="AN38" s="448"/>
    </row>
    <row r="39" spans="1:40" ht="15.75" customHeight="1" thickBot="1" x14ac:dyDescent="0.3">
      <c r="A39" s="142"/>
      <c r="B39" s="142"/>
      <c r="C39" s="142"/>
      <c r="D39" s="142"/>
      <c r="E39" s="72"/>
      <c r="F39" s="69" t="s">
        <v>310</v>
      </c>
      <c r="G39" s="72" t="str">
        <f>IF(PE="","",PE)</f>
        <v>2% in 50 yrs</v>
      </c>
      <c r="H39" s="72"/>
      <c r="I39" s="142"/>
      <c r="J39" s="253" t="str">
        <f>IF(Inputs!$B26="","",Inputs!$B26)</f>
        <v/>
      </c>
      <c r="K39" s="254" t="e">
        <f>IF(Method_BI=TRUE,IF('PB Liquefaction Initiation'!$F23="",NA(),'PB Liquefaction Initiation'!$F23),NA())</f>
        <v>#N/A</v>
      </c>
      <c r="L39" s="254" t="e">
        <f>IF(AND(Method_BI=TRUE,Inputs!J26="Yes"),'PB Liquefaction Initiation'!S23,NA())</f>
        <v>#N/A</v>
      </c>
      <c r="M39" s="255" t="e">
        <f>IF(Method_BI=TRUE,IF('PB Liquefaction Initiation'!P23="","",'PB Liquefaction Initiation'!P23),NA())</f>
        <v>#N/A</v>
      </c>
      <c r="N39" s="256" t="e">
        <f>IF(Method_BI=TRUE,IF(Option_PL_FSL="FSL",'PB Liquefaction Initiation'!R23,IF(Option_PL_FSL="PL",'PB Liquefaction Initiation'!T23,NA())),NA())</f>
        <v>#N/A</v>
      </c>
      <c r="O39" s="396" t="e">
        <f>IF(AND(Method_BI=TRUE,J39&lt;&gt;""),IF(units=1,'PB Settlement'!AI21,CONVERT('PB Settlement'!AI21,"cm","in")),NA())</f>
        <v>#N/A</v>
      </c>
      <c r="P39" s="250" t="e">
        <f>IF(Method_Cetin=TRUE,'PB Liquefaction Initiation'!$D56,NA())</f>
        <v>#N/A</v>
      </c>
      <c r="Q39" s="250" t="e">
        <f>IF(Method_Cetin=TRUE,'PB Liquefaction Initiation'!J56,NA())</f>
        <v>#N/A</v>
      </c>
      <c r="R39" s="251" t="e">
        <f>IF(Method_Cetin=TRUE,'PB Liquefaction Initiation'!M56,NA())</f>
        <v>#N/A</v>
      </c>
      <c r="S39" s="252" t="e">
        <f>IF(Method_Cetin=TRUE,IF(Option_PL_FSL="FSL",'PB Liquefaction Initiation'!K56,IF(Option_PL_FSL="PL",'PB Liquefaction Initiation'!L56,NA())),NA())</f>
        <v>#N/A</v>
      </c>
      <c r="T39" s="397" t="e">
        <f>IF(AND(Method_Cetin=TRUE,'Final Summary'!J39&lt;&gt;""),IF(units=1,'PB Settlement'!AI49,CONVERT('PB Settlement'!AI49,"cm","in")),NA())</f>
        <v>#N/A</v>
      </c>
      <c r="U39" s="250" t="str">
        <f>IF(Inputs!$B26="","",Inputs!$B26)</f>
        <v/>
      </c>
      <c r="V39" s="257" t="e">
        <f>IF(Method_BI=TRUE,IF('PB Liquefaction Initiation'!$F23="",NA(),'PB Liquefaction Initiation'!$F23),NA())</f>
        <v>#N/A</v>
      </c>
      <c r="W39" s="254" t="e">
        <f>IF(Method_BI=TRUE,IF(Inputs!J26="No",NA(),'Det Liquefaction Initiation'!P23),NA())</f>
        <v>#N/A</v>
      </c>
      <c r="X39" s="255" t="e">
        <f>IF(Method_BI=TRUE,'Det Liquefaction Initiation'!S23,NA())</f>
        <v>#N/A</v>
      </c>
      <c r="Y39" s="256" t="e">
        <f>IF(Method_BI=TRUE,IF(Option_PL_FSL="FSL",'Det Liquefaction Initiation'!Q23,'Det Liquefaction Initiation'!R23),NA())</f>
        <v>#N/A</v>
      </c>
      <c r="Z39" s="438" t="e">
        <f>IF(Det_Liq_Option=FALSE,NA(),IF(AND(Method_BI=TRUE,U39&lt;&gt;""),IF(units=1,'Det Settlement'!U20,CONVERT('Det Settlement'!U20,"cm","in")),NA()))</f>
        <v>#N/A</v>
      </c>
      <c r="AA39" s="250" t="e">
        <f>IF(Method_Cetin=TRUE,'PB Liquefaction Initiation'!$D56,NA())</f>
        <v>#N/A</v>
      </c>
      <c r="AB39" s="250" t="e">
        <f>IF(Method_Cetin=TRUE,'Det Liquefaction Initiation'!K56,NA())</f>
        <v>#N/A</v>
      </c>
      <c r="AC39" s="251" t="e">
        <f>IF(Method_Cetin=TRUE,'Det Liquefaction Initiation'!N56,NA())</f>
        <v>#N/A</v>
      </c>
      <c r="AD39" s="252" t="e">
        <f>IF(Method_Cetin=TRUE,IF(Option_PL_FSL="FSL",'Det Liquefaction Initiation'!L56,'Det Liquefaction Initiation'!M56),NA())</f>
        <v>#N/A</v>
      </c>
      <c r="AE39" s="397" t="e">
        <f>IF(Det_Liq_Option=FALSE,NA(),IF(AND(Method_Cetin=TRUE,'Final Summary'!U39&lt;&gt;""),IF(units=1,'Det Settlement'!U46,CONVERT('Det Settlement'!U46,"cm","in")),NA()))</f>
        <v>#N/A</v>
      </c>
      <c r="AF39" s="449"/>
      <c r="AG39" s="621"/>
      <c r="AH39" s="603"/>
      <c r="AI39" s="622"/>
      <c r="AJ39" s="450"/>
      <c r="AK39" s="621"/>
      <c r="AL39" s="603"/>
      <c r="AM39" s="622"/>
      <c r="AN39" s="448"/>
    </row>
    <row r="40" spans="1:40" ht="15.75" customHeight="1" x14ac:dyDescent="0.25">
      <c r="A40" s="142"/>
      <c r="B40" s="142"/>
      <c r="C40" s="142"/>
      <c r="D40" s="142"/>
      <c r="E40" s="142"/>
      <c r="F40" s="142"/>
      <c r="G40" s="142"/>
      <c r="H40" s="142"/>
      <c r="I40" s="142"/>
      <c r="J40" s="253" t="str">
        <f>IF(Inputs!$B27="","",Inputs!$B27)</f>
        <v/>
      </c>
      <c r="K40" s="254" t="e">
        <f>IF(Method_BI=TRUE,IF('PB Liquefaction Initiation'!$F24="",NA(),'PB Liquefaction Initiation'!$F24),NA())</f>
        <v>#N/A</v>
      </c>
      <c r="L40" s="254" t="e">
        <f>IF(AND(Method_BI=TRUE,Inputs!J27="Yes"),'PB Liquefaction Initiation'!S24,NA())</f>
        <v>#N/A</v>
      </c>
      <c r="M40" s="255" t="e">
        <f>IF(Method_BI=TRUE,IF('PB Liquefaction Initiation'!P24="","",'PB Liquefaction Initiation'!P24),NA())</f>
        <v>#N/A</v>
      </c>
      <c r="N40" s="256" t="e">
        <f>IF(Method_BI=TRUE,IF(Option_PL_FSL="FSL",'PB Liquefaction Initiation'!R24,IF(Option_PL_FSL="PL",'PB Liquefaction Initiation'!T24,NA())),NA())</f>
        <v>#N/A</v>
      </c>
      <c r="O40" s="396" t="e">
        <f>IF(AND(Method_BI=TRUE,J40&lt;&gt;""),IF(units=1,'PB Settlement'!AI22,CONVERT('PB Settlement'!AI22,"cm","in")),NA())</f>
        <v>#N/A</v>
      </c>
      <c r="P40" s="250" t="e">
        <f>IF(Method_Cetin=TRUE,'PB Liquefaction Initiation'!$D57,NA())</f>
        <v>#N/A</v>
      </c>
      <c r="Q40" s="250" t="e">
        <f>IF(Method_Cetin=TRUE,'PB Liquefaction Initiation'!J57,NA())</f>
        <v>#N/A</v>
      </c>
      <c r="R40" s="251" t="e">
        <f>IF(Method_Cetin=TRUE,'PB Liquefaction Initiation'!M57,NA())</f>
        <v>#N/A</v>
      </c>
      <c r="S40" s="252" t="e">
        <f>IF(Method_Cetin=TRUE,IF(Option_PL_FSL="FSL",'PB Liquefaction Initiation'!K57,IF(Option_PL_FSL="PL",'PB Liquefaction Initiation'!L57,NA())),NA())</f>
        <v>#N/A</v>
      </c>
      <c r="T40" s="397" t="e">
        <f>IF(AND(Method_Cetin=TRUE,'Final Summary'!J40&lt;&gt;""),IF(units=1,'PB Settlement'!AI50,CONVERT('PB Settlement'!AI50,"cm","in")),NA())</f>
        <v>#N/A</v>
      </c>
      <c r="U40" s="250" t="str">
        <f>IF(Inputs!$B27="","",Inputs!$B27)</f>
        <v/>
      </c>
      <c r="V40" s="257" t="e">
        <f>IF(Method_BI=TRUE,IF('PB Liquefaction Initiation'!$F24="",NA(),'PB Liquefaction Initiation'!$F24),NA())</f>
        <v>#N/A</v>
      </c>
      <c r="W40" s="254" t="e">
        <f>IF(Method_BI=TRUE,IF(Inputs!J27="No",NA(),'Det Liquefaction Initiation'!P24),NA())</f>
        <v>#N/A</v>
      </c>
      <c r="X40" s="255" t="e">
        <f>IF(Method_BI=TRUE,'Det Liquefaction Initiation'!S24,NA())</f>
        <v>#N/A</v>
      </c>
      <c r="Y40" s="256" t="e">
        <f>IF(Method_BI=TRUE,IF(Option_PL_FSL="FSL",'Det Liquefaction Initiation'!Q24,'Det Liquefaction Initiation'!R24),NA())</f>
        <v>#N/A</v>
      </c>
      <c r="Z40" s="438" t="e">
        <f>IF(Det_Liq_Option=FALSE,NA(),IF(AND(Method_BI=TRUE,U40&lt;&gt;""),IF(units=1,'Det Settlement'!U21,CONVERT('Det Settlement'!U21,"cm","in")),NA()))</f>
        <v>#N/A</v>
      </c>
      <c r="AA40" s="250" t="e">
        <f>IF(Method_Cetin=TRUE,'PB Liquefaction Initiation'!$D57,NA())</f>
        <v>#N/A</v>
      </c>
      <c r="AB40" s="250" t="e">
        <f>IF(Method_Cetin=TRUE,'Det Liquefaction Initiation'!K57,NA())</f>
        <v>#N/A</v>
      </c>
      <c r="AC40" s="251" t="e">
        <f>IF(Method_Cetin=TRUE,'Det Liquefaction Initiation'!N57,NA())</f>
        <v>#N/A</v>
      </c>
      <c r="AD40" s="252" t="e">
        <f>IF(Method_Cetin=TRUE,IF(Option_PL_FSL="FSL",'Det Liquefaction Initiation'!L57,'Det Liquefaction Initiation'!M57),NA())</f>
        <v>#N/A</v>
      </c>
      <c r="AE40" s="397" t="e">
        <f>IF(Det_Liq_Option=FALSE,NA(),IF(AND(Method_Cetin=TRUE,'Final Summary'!U40&lt;&gt;""),IF(units=1,'Det Settlement'!U47,CONVERT('Det Settlement'!U47,"cm","in")),NA()))</f>
        <v>#N/A</v>
      </c>
      <c r="AF40" s="449"/>
      <c r="AG40" s="621" t="s">
        <v>365</v>
      </c>
      <c r="AH40" s="602">
        <f>IF(Simp_SS_Option=TRUE,IF(units=2,CONVERT(Simp_BT,"cm","in"),Simp_BT),NA())</f>
        <v>0.53798706822209397</v>
      </c>
      <c r="AI40" s="622" t="str">
        <f>IF(units=1,"cm","in")</f>
        <v>in</v>
      </c>
      <c r="AJ40" s="443"/>
      <c r="AK40" s="621" t="s">
        <v>363</v>
      </c>
      <c r="AL40" s="602">
        <f>IF(Det_SS_option=TRUE,IF(units=2,CONVERT(Det_BT,"cm","in"),Det_BT),NA())</f>
        <v>11.996140238698972</v>
      </c>
      <c r="AM40" s="622" t="str">
        <f>IF(units=1,"cm","in")</f>
        <v>in</v>
      </c>
      <c r="AN40" s="448"/>
    </row>
    <row r="41" spans="1:40" ht="15.75" customHeight="1" thickBot="1" x14ac:dyDescent="0.3">
      <c r="A41" s="153" t="s">
        <v>146</v>
      </c>
      <c r="B41" s="72"/>
      <c r="C41" s="72"/>
      <c r="D41" s="72"/>
      <c r="E41" s="72"/>
      <c r="F41" s="152" t="s">
        <v>307</v>
      </c>
      <c r="G41" s="72"/>
      <c r="H41" s="72"/>
      <c r="I41" s="142"/>
      <c r="J41" s="253" t="str">
        <f>IF(Inputs!$B28="","",Inputs!$B28)</f>
        <v/>
      </c>
      <c r="K41" s="254" t="e">
        <f>IF(Method_BI=TRUE,IF('PB Liquefaction Initiation'!$F25="",NA(),'PB Liquefaction Initiation'!$F25),NA())</f>
        <v>#N/A</v>
      </c>
      <c r="L41" s="254" t="e">
        <f>IF(AND(Method_BI=TRUE,Inputs!J28="Yes"),'PB Liquefaction Initiation'!S25,NA())</f>
        <v>#N/A</v>
      </c>
      <c r="M41" s="255" t="e">
        <f>IF(Method_BI=TRUE,IF('PB Liquefaction Initiation'!P25="","",'PB Liquefaction Initiation'!P25),NA())</f>
        <v>#N/A</v>
      </c>
      <c r="N41" s="256" t="e">
        <f>IF(Method_BI=TRUE,IF(Option_PL_FSL="FSL",'PB Liquefaction Initiation'!R25,IF(Option_PL_FSL="PL",'PB Liquefaction Initiation'!T25,NA())),NA())</f>
        <v>#N/A</v>
      </c>
      <c r="O41" s="396" t="e">
        <f>IF(AND(Method_BI=TRUE,J41&lt;&gt;""),IF(units=1,'PB Settlement'!AI23,CONVERT('PB Settlement'!AI23,"cm","in")),NA())</f>
        <v>#N/A</v>
      </c>
      <c r="P41" s="250" t="e">
        <f>IF(Method_Cetin=TRUE,'PB Liquefaction Initiation'!$D58,NA())</f>
        <v>#N/A</v>
      </c>
      <c r="Q41" s="250" t="e">
        <f>IF(Method_Cetin=TRUE,'PB Liquefaction Initiation'!J58,NA())</f>
        <v>#N/A</v>
      </c>
      <c r="R41" s="251" t="e">
        <f>IF(Method_Cetin=TRUE,'PB Liquefaction Initiation'!M58,NA())</f>
        <v>#N/A</v>
      </c>
      <c r="S41" s="252" t="e">
        <f>IF(Method_Cetin=TRUE,IF(Option_PL_FSL="FSL",'PB Liquefaction Initiation'!K58,IF(Option_PL_FSL="PL",'PB Liquefaction Initiation'!L58,NA())),NA())</f>
        <v>#N/A</v>
      </c>
      <c r="T41" s="397" t="e">
        <f>IF(AND(Method_Cetin=TRUE,'Final Summary'!J41&lt;&gt;""),IF(units=1,'PB Settlement'!AI51,CONVERT('PB Settlement'!AI51,"cm","in")),NA())</f>
        <v>#N/A</v>
      </c>
      <c r="U41" s="250" t="str">
        <f>IF(Inputs!$B28="","",Inputs!$B28)</f>
        <v/>
      </c>
      <c r="V41" s="257" t="e">
        <f>IF(Method_BI=TRUE,IF('PB Liquefaction Initiation'!$F25="",NA(),'PB Liquefaction Initiation'!$F25),NA())</f>
        <v>#N/A</v>
      </c>
      <c r="W41" s="254" t="e">
        <f>IF(Method_BI=TRUE,IF(Inputs!J28="No",NA(),'Det Liquefaction Initiation'!P25),NA())</f>
        <v>#N/A</v>
      </c>
      <c r="X41" s="255" t="e">
        <f>IF(Method_BI=TRUE,'Det Liquefaction Initiation'!S25,NA())</f>
        <v>#N/A</v>
      </c>
      <c r="Y41" s="256" t="e">
        <f>IF(Method_BI=TRUE,IF(Option_PL_FSL="FSL",'Det Liquefaction Initiation'!Q25,'Det Liquefaction Initiation'!R25),NA())</f>
        <v>#N/A</v>
      </c>
      <c r="Z41" s="438" t="e">
        <f>IF(Det_Liq_Option=FALSE,NA(),IF(AND(Method_BI=TRUE,U41&lt;&gt;""),IF(units=1,'Det Settlement'!U22,CONVERT('Det Settlement'!U22,"cm","in")),NA()))</f>
        <v>#N/A</v>
      </c>
      <c r="AA41" s="250" t="e">
        <f>IF(Method_Cetin=TRUE,'PB Liquefaction Initiation'!$D58,NA())</f>
        <v>#N/A</v>
      </c>
      <c r="AB41" s="250" t="e">
        <f>IF(Method_Cetin=TRUE,'Det Liquefaction Initiation'!K58,NA())</f>
        <v>#N/A</v>
      </c>
      <c r="AC41" s="251" t="e">
        <f>IF(Method_Cetin=TRUE,'Det Liquefaction Initiation'!N58,NA())</f>
        <v>#N/A</v>
      </c>
      <c r="AD41" s="252" t="e">
        <f>IF(Method_Cetin=TRUE,IF(Option_PL_FSL="FSL",'Det Liquefaction Initiation'!L58,'Det Liquefaction Initiation'!M58),NA())</f>
        <v>#N/A</v>
      </c>
      <c r="AE41" s="397" t="e">
        <f>IF(Det_Liq_Option=FALSE,NA(),IF(AND(Method_Cetin=TRUE,'Final Summary'!U41&lt;&gt;""),IF(units=1,'Det Settlement'!U48,CONVERT('Det Settlement'!U48,"cm","in")),NA()))</f>
        <v>#N/A</v>
      </c>
      <c r="AF41" s="449"/>
      <c r="AG41" s="621"/>
      <c r="AH41" s="603"/>
      <c r="AI41" s="622"/>
      <c r="AJ41" s="443"/>
      <c r="AK41" s="621"/>
      <c r="AL41" s="603"/>
      <c r="AM41" s="622"/>
      <c r="AN41" s="448"/>
    </row>
    <row r="42" spans="1:40" ht="15.75" customHeight="1" x14ac:dyDescent="0.25">
      <c r="A42" s="72"/>
      <c r="B42" s="72"/>
      <c r="C42" s="72"/>
      <c r="D42" s="72"/>
      <c r="E42" s="72"/>
      <c r="F42" s="72"/>
      <c r="G42" s="72"/>
      <c r="H42" s="71"/>
      <c r="I42" s="142"/>
      <c r="J42" s="253" t="str">
        <f>IF(Inputs!$B29="","",Inputs!$B29)</f>
        <v/>
      </c>
      <c r="K42" s="254" t="e">
        <f>IF(Method_BI=TRUE,IF('PB Liquefaction Initiation'!$F26="",NA(),'PB Liquefaction Initiation'!$F26),NA())</f>
        <v>#N/A</v>
      </c>
      <c r="L42" s="254" t="e">
        <f>IF(AND(Method_BI=TRUE,Inputs!J29="Yes"),'PB Liquefaction Initiation'!S26,NA())</f>
        <v>#N/A</v>
      </c>
      <c r="M42" s="255" t="e">
        <f>IF(Method_BI=TRUE,IF('PB Liquefaction Initiation'!P26="","",'PB Liquefaction Initiation'!P26),NA())</f>
        <v>#N/A</v>
      </c>
      <c r="N42" s="256" t="e">
        <f>IF(Method_BI=TRUE,IF(Option_PL_FSL="FSL",'PB Liquefaction Initiation'!R26,IF(Option_PL_FSL="PL",'PB Liquefaction Initiation'!T26,NA())),NA())</f>
        <v>#N/A</v>
      </c>
      <c r="O42" s="396" t="e">
        <f>IF(AND(Method_BI=TRUE,J42&lt;&gt;""),IF(units=1,'PB Settlement'!AI24,CONVERT('PB Settlement'!AI24,"cm","in")),NA())</f>
        <v>#N/A</v>
      </c>
      <c r="P42" s="250" t="e">
        <f>IF(Method_Cetin=TRUE,'PB Liquefaction Initiation'!$D59,NA())</f>
        <v>#N/A</v>
      </c>
      <c r="Q42" s="250" t="e">
        <f>IF(Method_Cetin=TRUE,'PB Liquefaction Initiation'!J59,NA())</f>
        <v>#N/A</v>
      </c>
      <c r="R42" s="251" t="e">
        <f>IF(Method_Cetin=TRUE,'PB Liquefaction Initiation'!M59,NA())</f>
        <v>#N/A</v>
      </c>
      <c r="S42" s="252" t="e">
        <f>IF(Method_Cetin=TRUE,IF(Option_PL_FSL="FSL",'PB Liquefaction Initiation'!K59,IF(Option_PL_FSL="PL",'PB Liquefaction Initiation'!L59,NA())),NA())</f>
        <v>#N/A</v>
      </c>
      <c r="T42" s="397" t="e">
        <f>IF(AND(Method_Cetin=TRUE,'Final Summary'!J42&lt;&gt;""),IF(units=1,'PB Settlement'!AI52,CONVERT('PB Settlement'!AI52,"cm","in")),NA())</f>
        <v>#N/A</v>
      </c>
      <c r="U42" s="250" t="str">
        <f>IF(Inputs!$B29="","",Inputs!$B29)</f>
        <v/>
      </c>
      <c r="V42" s="257" t="e">
        <f>IF(Method_BI=TRUE,IF('PB Liquefaction Initiation'!$F26="",NA(),'PB Liquefaction Initiation'!$F26),NA())</f>
        <v>#N/A</v>
      </c>
      <c r="W42" s="254" t="e">
        <f>IF(Method_BI=TRUE,IF(Inputs!J29="No",NA(),'Det Liquefaction Initiation'!P26),NA())</f>
        <v>#N/A</v>
      </c>
      <c r="X42" s="255" t="e">
        <f>IF(Method_BI=TRUE,'Det Liquefaction Initiation'!S26,NA())</f>
        <v>#N/A</v>
      </c>
      <c r="Y42" s="256" t="e">
        <f>IF(Method_BI=TRUE,IF(Option_PL_FSL="FSL",'Det Liquefaction Initiation'!Q26,'Det Liquefaction Initiation'!R26),NA())</f>
        <v>#N/A</v>
      </c>
      <c r="Z42" s="438" t="e">
        <f>IF(Det_Liq_Option=FALSE,NA(),IF(AND(Method_BI=TRUE,U42&lt;&gt;""),IF(units=1,'Det Settlement'!U23,CONVERT('Det Settlement'!U23,"cm","in")),NA()))</f>
        <v>#N/A</v>
      </c>
      <c r="AA42" s="250" t="e">
        <f>IF(Method_Cetin=TRUE,'PB Liquefaction Initiation'!$D59,NA())</f>
        <v>#N/A</v>
      </c>
      <c r="AB42" s="250" t="e">
        <f>IF(Method_Cetin=TRUE,'Det Liquefaction Initiation'!K59,NA())</f>
        <v>#N/A</v>
      </c>
      <c r="AC42" s="251" t="e">
        <f>IF(Method_Cetin=TRUE,'Det Liquefaction Initiation'!N59,NA())</f>
        <v>#N/A</v>
      </c>
      <c r="AD42" s="252" t="e">
        <f>IF(Method_Cetin=TRUE,IF(Option_PL_FSL="FSL",'Det Liquefaction Initiation'!L59,'Det Liquefaction Initiation'!M59),NA())</f>
        <v>#N/A</v>
      </c>
      <c r="AE42" s="397" t="e">
        <f>IF(Det_Liq_Option=FALSE,NA(),IF(AND(Method_Cetin=TRUE,'Final Summary'!U42&lt;&gt;""),IF(units=1,'Det Settlement'!U49,CONVERT('Det Settlement'!U49,"cm","in")),NA()))</f>
        <v>#N/A</v>
      </c>
      <c r="AF42" s="451"/>
      <c r="AG42" s="452"/>
      <c r="AH42" s="452"/>
      <c r="AI42" s="452"/>
      <c r="AJ42" s="452"/>
      <c r="AK42" s="452"/>
      <c r="AL42" s="452"/>
      <c r="AM42" s="452"/>
      <c r="AN42" s="453"/>
    </row>
    <row r="43" spans="1:40" ht="15.75" customHeight="1" x14ac:dyDescent="0.25">
      <c r="A43" s="69" t="s">
        <v>15</v>
      </c>
      <c r="B43" s="70">
        <f>IF(PGA_det="","",PGA_det)</f>
        <v>0.73</v>
      </c>
      <c r="C43" s="72"/>
      <c r="D43" s="71"/>
      <c r="E43" s="590" t="str">
        <f>F2</f>
        <v>Salt Lake City, UT</v>
      </c>
      <c r="F43" s="590"/>
      <c r="G43" s="590"/>
      <c r="H43" s="590"/>
      <c r="I43" s="142"/>
      <c r="J43" s="253" t="str">
        <f>IF(Inputs!$B30="","",Inputs!$B30)</f>
        <v/>
      </c>
      <c r="K43" s="254" t="e">
        <f>IF(Method_BI=TRUE,IF('PB Liquefaction Initiation'!$F27="",NA(),'PB Liquefaction Initiation'!$F27),NA())</f>
        <v>#N/A</v>
      </c>
      <c r="L43" s="254" t="e">
        <f>IF(AND(Method_BI=TRUE,Inputs!J30="Yes"),'PB Liquefaction Initiation'!S27,NA())</f>
        <v>#N/A</v>
      </c>
      <c r="M43" s="255" t="e">
        <f>IF(Method_BI=TRUE,IF('PB Liquefaction Initiation'!P27="","",'PB Liquefaction Initiation'!P27),NA())</f>
        <v>#N/A</v>
      </c>
      <c r="N43" s="256" t="e">
        <f>IF(Method_BI=TRUE,IF(Option_PL_FSL="FSL",'PB Liquefaction Initiation'!R27,IF(Option_PL_FSL="PL",'PB Liquefaction Initiation'!T27,NA())),NA())</f>
        <v>#N/A</v>
      </c>
      <c r="O43" s="396" t="e">
        <f>IF(AND(Method_BI=TRUE,J43&lt;&gt;""),IF(units=1,'PB Settlement'!AI25,CONVERT('PB Settlement'!AI25,"cm","in")),NA())</f>
        <v>#N/A</v>
      </c>
      <c r="P43" s="250" t="e">
        <f>IF(Method_Cetin=TRUE,'PB Liquefaction Initiation'!$D60,NA())</f>
        <v>#N/A</v>
      </c>
      <c r="Q43" s="250" t="e">
        <f>IF(Method_Cetin=TRUE,'PB Liquefaction Initiation'!J60,NA())</f>
        <v>#N/A</v>
      </c>
      <c r="R43" s="251" t="e">
        <f>IF(Method_Cetin=TRUE,'PB Liquefaction Initiation'!M60,NA())</f>
        <v>#N/A</v>
      </c>
      <c r="S43" s="252" t="e">
        <f>IF(Method_Cetin=TRUE,IF(Option_PL_FSL="FSL",'PB Liquefaction Initiation'!K60,IF(Option_PL_FSL="PL",'PB Liquefaction Initiation'!L60,NA())),NA())</f>
        <v>#N/A</v>
      </c>
      <c r="T43" s="397" t="e">
        <f>IF(AND(Method_Cetin=TRUE,'Final Summary'!J43&lt;&gt;""),IF(units=1,'PB Settlement'!AI53,CONVERT('PB Settlement'!AI53,"cm","in")),NA())</f>
        <v>#N/A</v>
      </c>
      <c r="U43" s="250" t="str">
        <f>IF(Inputs!$B30="","",Inputs!$B30)</f>
        <v/>
      </c>
      <c r="V43" s="257" t="e">
        <f>IF(Method_BI=TRUE,IF('PB Liquefaction Initiation'!$F27="",NA(),'PB Liquefaction Initiation'!$F27),NA())</f>
        <v>#N/A</v>
      </c>
      <c r="W43" s="254" t="e">
        <f>IF(Method_BI=TRUE,IF(Inputs!J30="No",NA(),'Det Liquefaction Initiation'!P27),NA())</f>
        <v>#N/A</v>
      </c>
      <c r="X43" s="255" t="e">
        <f>IF(Method_BI=TRUE,'Det Liquefaction Initiation'!S27,NA())</f>
        <v>#N/A</v>
      </c>
      <c r="Y43" s="256" t="e">
        <f>IF(Method_BI=TRUE,IF(Option_PL_FSL="FSL",'Det Liquefaction Initiation'!Q27,'Det Liquefaction Initiation'!R27),NA())</f>
        <v>#N/A</v>
      </c>
      <c r="Z43" s="438" t="e">
        <f>IF(Det_Liq_Option=FALSE,NA(),IF(AND(Method_BI=TRUE,U43&lt;&gt;""),IF(units=1,'Det Settlement'!U24,CONVERT('Det Settlement'!U24,"cm","in")),NA()))</f>
        <v>#N/A</v>
      </c>
      <c r="AA43" s="250" t="e">
        <f>IF(Method_Cetin=TRUE,'PB Liquefaction Initiation'!$D60,NA())</f>
        <v>#N/A</v>
      </c>
      <c r="AB43" s="250" t="e">
        <f>IF(Method_Cetin=TRUE,'Det Liquefaction Initiation'!K60,NA())</f>
        <v>#N/A</v>
      </c>
      <c r="AC43" s="251" t="e">
        <f>IF(Method_Cetin=TRUE,'Det Liquefaction Initiation'!N60,NA())</f>
        <v>#N/A</v>
      </c>
      <c r="AD43" s="252" t="e">
        <f>IF(Method_Cetin=TRUE,IF(Option_PL_FSL="FSL",'Det Liquefaction Initiation'!L60,'Det Liquefaction Initiation'!M60),NA())</f>
        <v>#N/A</v>
      </c>
      <c r="AE43" s="397" t="e">
        <f>IF(Det_Liq_Option=FALSE,NA(),IF(AND(Method_Cetin=TRUE,'Final Summary'!U43&lt;&gt;""),IF(units=1,'Det Settlement'!U50,CONVERT('Det Settlement'!U50,"cm","in")),NA()))</f>
        <v>#N/A</v>
      </c>
      <c r="AF43" s="142"/>
      <c r="AG43" s="142"/>
      <c r="AH43" s="142"/>
      <c r="AI43" s="142"/>
      <c r="AJ43" s="142"/>
      <c r="AK43" s="142"/>
      <c r="AL43" s="142"/>
      <c r="AM43" s="142"/>
      <c r="AN43" s="142"/>
    </row>
    <row r="44" spans="1:40" ht="15.75" customHeight="1" x14ac:dyDescent="0.25">
      <c r="A44" s="240" t="s">
        <v>159</v>
      </c>
      <c r="B44" s="70">
        <f>IF(Fpga_det="","",Fpga_det)</f>
        <v>1</v>
      </c>
      <c r="C44" s="72"/>
      <c r="D44" s="142"/>
      <c r="E44" s="142"/>
      <c r="F44" s="73" t="s">
        <v>300</v>
      </c>
      <c r="G44" s="70">
        <f>IF(Lat="","",Lat)</f>
        <v>40.674579999999999</v>
      </c>
      <c r="H44" s="142"/>
      <c r="I44" s="142"/>
      <c r="J44" s="253" t="str">
        <f>IF(Inputs!$B31="","",Inputs!$B31)</f>
        <v/>
      </c>
      <c r="K44" s="254" t="e">
        <f>IF(Method_BI=TRUE,IF('PB Liquefaction Initiation'!$F28="",NA(),'PB Liquefaction Initiation'!$F28),NA())</f>
        <v>#N/A</v>
      </c>
      <c r="L44" s="254" t="e">
        <f>IF(AND(Method_BI=TRUE,Inputs!J31="Yes"),'PB Liquefaction Initiation'!S28,NA())</f>
        <v>#N/A</v>
      </c>
      <c r="M44" s="255" t="e">
        <f>IF(Method_BI=TRUE,IF('PB Liquefaction Initiation'!P28="","",'PB Liquefaction Initiation'!P28),NA())</f>
        <v>#N/A</v>
      </c>
      <c r="N44" s="256" t="e">
        <f>IF(Method_BI=TRUE,IF(Option_PL_FSL="FSL",'PB Liquefaction Initiation'!R28,IF(Option_PL_FSL="PL",'PB Liquefaction Initiation'!T28,NA())),NA())</f>
        <v>#N/A</v>
      </c>
      <c r="O44" s="396" t="e">
        <f>IF(AND(Method_BI=TRUE,J44&lt;&gt;""),IF(units=1,'PB Settlement'!AI26,CONVERT('PB Settlement'!AI26,"cm","in")),NA())</f>
        <v>#N/A</v>
      </c>
      <c r="P44" s="250" t="e">
        <f>IF(Method_Cetin=TRUE,'PB Liquefaction Initiation'!$D61,NA())</f>
        <v>#N/A</v>
      </c>
      <c r="Q44" s="250" t="e">
        <f>IF(Method_Cetin=TRUE,'PB Liquefaction Initiation'!J61,NA())</f>
        <v>#N/A</v>
      </c>
      <c r="R44" s="251" t="e">
        <f>IF(Method_Cetin=TRUE,'PB Liquefaction Initiation'!M61,NA())</f>
        <v>#N/A</v>
      </c>
      <c r="S44" s="252" t="e">
        <f>IF(Method_Cetin=TRUE,IF(Option_PL_FSL="FSL",'PB Liquefaction Initiation'!K61,IF(Option_PL_FSL="PL",'PB Liquefaction Initiation'!L61,NA())),NA())</f>
        <v>#N/A</v>
      </c>
      <c r="T44" s="397" t="e">
        <f>IF(AND(Method_Cetin=TRUE,'Final Summary'!J44&lt;&gt;""),IF(units=1,'PB Settlement'!AI54,CONVERT('PB Settlement'!AI54,"cm","in")),NA())</f>
        <v>#N/A</v>
      </c>
      <c r="U44" s="250" t="str">
        <f>IF(Inputs!$B31="","",Inputs!$B31)</f>
        <v/>
      </c>
      <c r="V44" s="257" t="e">
        <f>IF(Method_BI=TRUE,IF('PB Liquefaction Initiation'!$F28="",NA(),'PB Liquefaction Initiation'!$F28),NA())</f>
        <v>#N/A</v>
      </c>
      <c r="W44" s="254" t="e">
        <f>IF(Method_BI=TRUE,IF(Inputs!J31="No",NA(),'Det Liquefaction Initiation'!P28),NA())</f>
        <v>#N/A</v>
      </c>
      <c r="X44" s="255" t="e">
        <f>IF(Method_BI=TRUE,'Det Liquefaction Initiation'!S28,NA())</f>
        <v>#N/A</v>
      </c>
      <c r="Y44" s="256" t="e">
        <f>IF(Method_BI=TRUE,IF(Option_PL_FSL="FSL",'Det Liquefaction Initiation'!Q28,'Det Liquefaction Initiation'!R28),NA())</f>
        <v>#N/A</v>
      </c>
      <c r="Z44" s="438" t="e">
        <f>IF(Det_Liq_Option=FALSE,NA(),IF(AND(Method_BI=TRUE,U44&lt;&gt;""),IF(units=1,'Det Settlement'!U25,CONVERT('Det Settlement'!U25,"cm","in")),NA()))</f>
        <v>#N/A</v>
      </c>
      <c r="AA44" s="250" t="e">
        <f>IF(Method_Cetin=TRUE,'PB Liquefaction Initiation'!$D61,NA())</f>
        <v>#N/A</v>
      </c>
      <c r="AB44" s="250" t="e">
        <f>IF(Method_Cetin=TRUE,'Det Liquefaction Initiation'!K61,NA())</f>
        <v>#N/A</v>
      </c>
      <c r="AC44" s="251" t="e">
        <f>IF(Method_Cetin=TRUE,'Det Liquefaction Initiation'!N61,NA())</f>
        <v>#N/A</v>
      </c>
      <c r="AD44" s="252" t="e">
        <f>IF(Method_Cetin=TRUE,IF(Option_PL_FSL="FSL",'Det Liquefaction Initiation'!L61,'Det Liquefaction Initiation'!M61),NA())</f>
        <v>#N/A</v>
      </c>
      <c r="AE44" s="397" t="e">
        <f>IF(Det_Liq_Option=FALSE,NA(),IF(AND(Method_Cetin=TRUE,'Final Summary'!U44&lt;&gt;""),IF(units=1,'Det Settlement'!U51,CONVERT('Det Settlement'!U51,"cm","in")),NA()))</f>
        <v>#N/A</v>
      </c>
      <c r="AF44" s="142"/>
      <c r="AG44" s="142"/>
      <c r="AH44" s="142"/>
      <c r="AI44" s="142"/>
      <c r="AJ44" s="142"/>
      <c r="AK44" s="142"/>
      <c r="AL44" s="142"/>
      <c r="AM44" s="142"/>
      <c r="AN44" s="142"/>
    </row>
    <row r="45" spans="1:40" ht="15.75" customHeight="1" x14ac:dyDescent="0.25">
      <c r="A45" s="240" t="s">
        <v>245</v>
      </c>
      <c r="B45" s="70">
        <f>IF(Mw_det="","",Mw_det)</f>
        <v>6.8</v>
      </c>
      <c r="C45" s="72"/>
      <c r="D45" s="142"/>
      <c r="E45" s="142"/>
      <c r="F45" s="73" t="s">
        <v>301</v>
      </c>
      <c r="G45" s="74">
        <f>IF(Long="","",Long)</f>
        <v>-111.91495</v>
      </c>
      <c r="H45" s="142"/>
      <c r="I45" s="72"/>
      <c r="J45" s="279" t="str">
        <f>IF(Inputs!$B32="","",Inputs!$B32)</f>
        <v/>
      </c>
      <c r="K45" s="258" t="e">
        <f>IF(Method_BI=TRUE,IF('PB Liquefaction Initiation'!$F29="",NA(),'PB Liquefaction Initiation'!$F29),NA())</f>
        <v>#N/A</v>
      </c>
      <c r="L45" s="258" t="e">
        <f>IF(AND(Method_BI=TRUE,Inputs!J32="Yes"),'PB Liquefaction Initiation'!S29,NA())</f>
        <v>#N/A</v>
      </c>
      <c r="M45" s="260" t="e">
        <f>IF(Method_BI=TRUE,IF('PB Liquefaction Initiation'!P29="","",'PB Liquefaction Initiation'!P29),NA())</f>
        <v>#N/A</v>
      </c>
      <c r="N45" s="261" t="e">
        <f>IF(Method_BI=TRUE,IF(Option_PL_FSL="FSL",'PB Liquefaction Initiation'!R29,IF(Option_PL_FSL="PL",'PB Liquefaction Initiation'!T29,NA())),NA())</f>
        <v>#N/A</v>
      </c>
      <c r="O45" s="396" t="e">
        <f>IF(AND(Method_BI=TRUE,J45&lt;&gt;""),IF(units=1,'PB Settlement'!AI27,CONVERT('PB Settlement'!AI27,"cm","in")),NA())</f>
        <v>#N/A</v>
      </c>
      <c r="P45" s="258" t="e">
        <f>IF(Method_Cetin=TRUE,'PB Liquefaction Initiation'!$D62,NA())</f>
        <v>#N/A</v>
      </c>
      <c r="Q45" s="258" t="e">
        <f>IF(Method_Cetin=TRUE,'PB Liquefaction Initiation'!J62,NA())</f>
        <v>#N/A</v>
      </c>
      <c r="R45" s="260" t="e">
        <f>IF(Method_Cetin=TRUE,'PB Liquefaction Initiation'!M62,NA())</f>
        <v>#N/A</v>
      </c>
      <c r="S45" s="261" t="e">
        <f>IF(Method_Cetin=TRUE,IF(Option_PL_FSL="FSL",'PB Liquefaction Initiation'!K62,IF(Option_PL_FSL="PL",'PB Liquefaction Initiation'!L62,NA())),NA())</f>
        <v>#N/A</v>
      </c>
      <c r="T45" s="397" t="e">
        <f>IF(AND(Method_Cetin=TRUE,'Final Summary'!J45&lt;&gt;""),IF(units=1,'PB Settlement'!AI55,CONVERT('PB Settlement'!AI55,"cm","in")),NA())</f>
        <v>#N/A</v>
      </c>
      <c r="U45" s="258" t="str">
        <f>IF(Inputs!$B32="","",Inputs!$B32)</f>
        <v/>
      </c>
      <c r="V45" s="259" t="e">
        <f>IF(Method_BI=TRUE,IF('PB Liquefaction Initiation'!$F29="",NA(),'PB Liquefaction Initiation'!$F29),NA())</f>
        <v>#N/A</v>
      </c>
      <c r="W45" s="258" t="e">
        <f>IF(Method_BI=TRUE,IF(Inputs!J32="No",NA(),'Det Liquefaction Initiation'!P29),NA())</f>
        <v>#N/A</v>
      </c>
      <c r="X45" s="260" t="e">
        <f>IF(Method_BI=TRUE,'Det Liquefaction Initiation'!S29,NA())</f>
        <v>#N/A</v>
      </c>
      <c r="Y45" s="261" t="e">
        <f>IF(Method_BI=TRUE,IF(Option_PL_FSL="FSL",'Det Liquefaction Initiation'!Q29,'Det Liquefaction Initiation'!R29),NA())</f>
        <v>#N/A</v>
      </c>
      <c r="Z45" s="438" t="e">
        <f>IF(Det_Liq_Option=FALSE,NA(),IF(AND(Method_BI=TRUE,U45&lt;&gt;""),IF(units=1,'Det Settlement'!U26,CONVERT('Det Settlement'!U26,"cm","in")),NA()))</f>
        <v>#N/A</v>
      </c>
      <c r="AA45" s="258" t="e">
        <f>IF(Method_Cetin=TRUE,'PB Liquefaction Initiation'!$D62,NA())</f>
        <v>#N/A</v>
      </c>
      <c r="AB45" s="258" t="e">
        <f>IF(Method_Cetin=TRUE,'Det Liquefaction Initiation'!K62,NA())</f>
        <v>#N/A</v>
      </c>
      <c r="AC45" s="260" t="e">
        <f>IF(Method_Cetin=TRUE,'Det Liquefaction Initiation'!N62,NA())</f>
        <v>#N/A</v>
      </c>
      <c r="AD45" s="261" t="e">
        <f>IF(Method_Cetin=TRUE,IF(Option_PL_FSL="FSL",'Det Liquefaction Initiation'!L62,'Det Liquefaction Initiation'!M62),NA())</f>
        <v>#N/A</v>
      </c>
      <c r="AE45" s="397" t="e">
        <f>IF(Det_Liq_Option=FALSE,NA(),IF(AND(Method_Cetin=TRUE,'Final Summary'!U45&lt;&gt;""),IF(units=1,'Det Settlement'!U52,CONVERT('Det Settlement'!U52,"cm","in")),NA()))</f>
        <v>#N/A</v>
      </c>
      <c r="AF45" s="142"/>
      <c r="AG45" s="142"/>
      <c r="AH45" s="142"/>
      <c r="AI45" s="142"/>
      <c r="AJ45" s="142"/>
      <c r="AK45" s="142"/>
      <c r="AL45" s="142"/>
      <c r="AM45" s="142"/>
      <c r="AN45" s="142"/>
    </row>
    <row r="46" spans="1:40" ht="15.75" customHeight="1" x14ac:dyDescent="0.25">
      <c r="A46" s="73" t="s">
        <v>40</v>
      </c>
      <c r="B46" s="70">
        <f>IF(Percentile_Liq="","",Percentile_Liq)</f>
        <v>84</v>
      </c>
      <c r="C46" s="72"/>
      <c r="D46" s="142"/>
      <c r="E46" s="142"/>
      <c r="F46" s="72"/>
      <c r="G46" s="142"/>
      <c r="H46" s="72"/>
      <c r="I46" s="72"/>
      <c r="J46" s="145"/>
      <c r="K46" s="145"/>
      <c r="L46" s="145"/>
      <c r="M46" s="145"/>
      <c r="N46" s="145"/>
      <c r="O46" s="145"/>
      <c r="P46" s="145"/>
      <c r="Q46" s="145"/>
      <c r="R46" s="145"/>
      <c r="S46" s="142"/>
      <c r="T46" s="142"/>
      <c r="U46" s="439" t="s">
        <v>147</v>
      </c>
      <c r="V46" s="142"/>
      <c r="W46" s="142"/>
      <c r="X46" s="142"/>
      <c r="Y46" s="142"/>
      <c r="Z46" s="142"/>
      <c r="AA46" s="142"/>
      <c r="AB46" s="142"/>
      <c r="AC46" s="142"/>
      <c r="AD46" s="142"/>
      <c r="AE46" s="142"/>
      <c r="AF46" s="142"/>
      <c r="AG46" s="142"/>
      <c r="AH46" s="142"/>
      <c r="AI46" s="142"/>
      <c r="AJ46" s="142"/>
      <c r="AK46" s="142"/>
      <c r="AL46" s="142"/>
      <c r="AM46" s="142"/>
      <c r="AN46" s="142"/>
    </row>
    <row r="47" spans="1:40" ht="16.5" customHeight="1" x14ac:dyDescent="0.25">
      <c r="A47" s="142"/>
      <c r="B47" s="142"/>
      <c r="C47" s="72"/>
      <c r="D47" s="142"/>
      <c r="E47" s="142"/>
      <c r="F47" s="72"/>
      <c r="G47" s="72"/>
      <c r="H47" s="72"/>
      <c r="I47" s="72"/>
      <c r="J47" s="43"/>
      <c r="K47" s="43"/>
      <c r="L47" s="43"/>
      <c r="M47" s="43"/>
      <c r="N47" s="43"/>
      <c r="O47" s="43"/>
      <c r="P47" s="43"/>
      <c r="Q47" s="43"/>
      <c r="R47" s="43"/>
    </row>
    <row r="48" spans="1:40" x14ac:dyDescent="0.25">
      <c r="J48" s="43"/>
      <c r="K48" s="43"/>
      <c r="L48" s="43"/>
      <c r="M48" s="43"/>
      <c r="N48" s="43"/>
      <c r="O48" s="43"/>
      <c r="P48" s="43"/>
      <c r="Q48" s="43"/>
      <c r="R48" s="43"/>
    </row>
    <row r="49" spans="10:18" x14ac:dyDescent="0.25">
      <c r="J49" s="43"/>
      <c r="K49" s="43"/>
      <c r="L49" s="43"/>
      <c r="M49" s="43"/>
      <c r="N49" s="43"/>
      <c r="O49" s="43"/>
      <c r="P49" s="43"/>
      <c r="Q49" s="43"/>
      <c r="R49" s="43"/>
    </row>
  </sheetData>
  <sheetProtection password="C5B9" sheet="1" objects="1" scenarios="1"/>
  <mergeCells count="53">
    <mergeCell ref="AM40:AM41"/>
    <mergeCell ref="AG40:AG41"/>
    <mergeCell ref="AH40:AH41"/>
    <mergeCell ref="AI40:AI41"/>
    <mergeCell ref="AK40:AK41"/>
    <mergeCell ref="AL40:AL41"/>
    <mergeCell ref="AL26:AN26"/>
    <mergeCell ref="AF36:AH37"/>
    <mergeCell ref="AJ36:AL37"/>
    <mergeCell ref="AG38:AG39"/>
    <mergeCell ref="AH38:AH39"/>
    <mergeCell ref="AI38:AI39"/>
    <mergeCell ref="AK38:AK39"/>
    <mergeCell ref="AL38:AL39"/>
    <mergeCell ref="AM38:AM39"/>
    <mergeCell ref="N1:O1"/>
    <mergeCell ref="N2:O2"/>
    <mergeCell ref="N3:O3"/>
    <mergeCell ref="P1:T1"/>
    <mergeCell ref="P2:T2"/>
    <mergeCell ref="P3:T3"/>
    <mergeCell ref="K1:M1"/>
    <mergeCell ref="B1:D1"/>
    <mergeCell ref="F1:I1"/>
    <mergeCell ref="F2:I2"/>
    <mergeCell ref="F3:I3"/>
    <mergeCell ref="AK1:AN1"/>
    <mergeCell ref="AK2:AN2"/>
    <mergeCell ref="AK3:AN3"/>
    <mergeCell ref="V1:X1"/>
    <mergeCell ref="Y1:Z1"/>
    <mergeCell ref="AA1:AE1"/>
    <mergeCell ref="Y2:Z2"/>
    <mergeCell ref="AA2:AE2"/>
    <mergeCell ref="Y3:Z3"/>
    <mergeCell ref="AA3:AE3"/>
    <mergeCell ref="AG1:AI1"/>
    <mergeCell ref="E43:H43"/>
    <mergeCell ref="AM19:AM20"/>
    <mergeCell ref="AF17:AH18"/>
    <mergeCell ref="AJ17:AL18"/>
    <mergeCell ref="AI7:AK7"/>
    <mergeCell ref="V24:Z24"/>
    <mergeCell ref="AA24:AE24"/>
    <mergeCell ref="AL7:AN7"/>
    <mergeCell ref="AH19:AH20"/>
    <mergeCell ref="AL19:AL20"/>
    <mergeCell ref="AG19:AG20"/>
    <mergeCell ref="AI19:AI20"/>
    <mergeCell ref="AK19:AK20"/>
    <mergeCell ref="K24:O24"/>
    <mergeCell ref="P24:T24"/>
    <mergeCell ref="AI26:AJ26"/>
  </mergeCells>
  <conditionalFormatting sqref="J26:T45">
    <cfRule type="expression" dxfId="12" priority="36">
      <formula>ISNA(J26)</formula>
    </cfRule>
  </conditionalFormatting>
  <conditionalFormatting sqref="U26:Y45 AA26:AD45">
    <cfRule type="expression" dxfId="11" priority="35">
      <formula>ISNA(U26)</formula>
    </cfRule>
  </conditionalFormatting>
  <conditionalFormatting sqref="Z26:Z45">
    <cfRule type="expression" dxfId="10" priority="34">
      <formula>ISNA(Z26)</formula>
    </cfRule>
  </conditionalFormatting>
  <conditionalFormatting sqref="AE26">
    <cfRule type="expression" dxfId="9" priority="32">
      <formula>ISNA(AE26)</formula>
    </cfRule>
  </conditionalFormatting>
  <conditionalFormatting sqref="AE27:AE45">
    <cfRule type="expression" dxfId="8" priority="31">
      <formula>ISNA(AE27)</formula>
    </cfRule>
  </conditionalFormatting>
  <conditionalFormatting sqref="AH44">
    <cfRule type="expression" dxfId="7" priority="12">
      <formula>ISNA($AH$38:$AH$41)</formula>
    </cfRule>
  </conditionalFormatting>
  <conditionalFormatting sqref="AH38">
    <cfRule type="expression" dxfId="6" priority="11">
      <formula>ISNA($AH$38)</formula>
    </cfRule>
  </conditionalFormatting>
  <conditionalFormatting sqref="AH40">
    <cfRule type="expression" dxfId="5" priority="10">
      <formula>ISNA($AH$40)</formula>
    </cfRule>
  </conditionalFormatting>
  <conditionalFormatting sqref="AH38:AH39">
    <cfRule type="expression" dxfId="4" priority="9" stopIfTrue="1">
      <formula>ISNA($AH$38)</formula>
    </cfRule>
  </conditionalFormatting>
  <conditionalFormatting sqref="AH40:AH41">
    <cfRule type="expression" dxfId="3" priority="8">
      <formula>ISNA($AH$40)</formula>
    </cfRule>
  </conditionalFormatting>
  <conditionalFormatting sqref="AL38:AL41">
    <cfRule type="expression" dxfId="2" priority="6">
      <formula>ISNA($AL$40)</formula>
    </cfRule>
  </conditionalFormatting>
  <conditionalFormatting sqref="AH19:AH20">
    <cfRule type="expression" dxfId="1" priority="5">
      <formula>ISNA($AH$19)</formula>
    </cfRule>
  </conditionalFormatting>
  <conditionalFormatting sqref="AL19:AL20">
    <cfRule type="expression" dxfId="0" priority="4">
      <formula>ISNA($AL$19)</formula>
    </cfRule>
  </conditionalFormatting>
  <pageMargins left="0.65625"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L5:AB57"/>
  <sheetViews>
    <sheetView showGridLines="0" topLeftCell="A5" workbookViewId="0"/>
  </sheetViews>
  <sheetFormatPr defaultRowHeight="15.75" x14ac:dyDescent="0.25"/>
  <sheetData>
    <row r="5" spans="12:26" x14ac:dyDescent="0.25">
      <c r="Z5" s="29" t="str">
        <f>IF($A5="","",IF($A5="","",$T5*$U5*$V5*$W5*$X5*$Y5))</f>
        <v/>
      </c>
    </row>
    <row r="6" spans="12:26" x14ac:dyDescent="0.25">
      <c r="Z6" s="29" t="str">
        <f t="shared" ref="Z6:Z24" si="0">IF($A6="","",IF($A6="","",$T6*$U6*$V6*$W6*$X6*$Y6))</f>
        <v/>
      </c>
    </row>
    <row r="7" spans="12:26" x14ac:dyDescent="0.25">
      <c r="Z7" s="29" t="str">
        <f t="shared" si="0"/>
        <v/>
      </c>
    </row>
    <row r="8" spans="12:26" x14ac:dyDescent="0.25">
      <c r="Z8" s="29" t="str">
        <f t="shared" si="0"/>
        <v/>
      </c>
    </row>
    <row r="9" spans="12:26" x14ac:dyDescent="0.25">
      <c r="Z9" s="29" t="str">
        <f t="shared" si="0"/>
        <v/>
      </c>
    </row>
    <row r="10" spans="12:26" x14ac:dyDescent="0.25">
      <c r="Z10" s="29" t="str">
        <f t="shared" si="0"/>
        <v/>
      </c>
    </row>
    <row r="11" spans="12:26" x14ac:dyDescent="0.25">
      <c r="Z11" s="29" t="str">
        <f t="shared" si="0"/>
        <v/>
      </c>
    </row>
    <row r="12" spans="12:26" x14ac:dyDescent="0.25">
      <c r="Z12" s="29" t="str">
        <f t="shared" si="0"/>
        <v/>
      </c>
    </row>
    <row r="13" spans="12:26" x14ac:dyDescent="0.25">
      <c r="Z13" s="29" t="str">
        <f t="shared" si="0"/>
        <v/>
      </c>
    </row>
    <row r="14" spans="12:26" x14ac:dyDescent="0.25">
      <c r="L14" s="623" t="s">
        <v>0</v>
      </c>
      <c r="M14" s="623"/>
      <c r="Z14" s="29" t="str">
        <f t="shared" si="0"/>
        <v/>
      </c>
    </row>
    <row r="15" spans="12:26" x14ac:dyDescent="0.25">
      <c r="L15" s="623">
        <v>-0.82499999999999996</v>
      </c>
      <c r="M15" s="623"/>
      <c r="Z15" s="29" t="str">
        <f t="shared" si="0"/>
        <v/>
      </c>
    </row>
    <row r="16" spans="12:26" x14ac:dyDescent="0.25">
      <c r="Z16" s="29" t="str">
        <f t="shared" si="0"/>
        <v/>
      </c>
    </row>
    <row r="17" spans="26:26" x14ac:dyDescent="0.25">
      <c r="Z17" s="29" t="str">
        <f t="shared" si="0"/>
        <v/>
      </c>
    </row>
    <row r="18" spans="26:26" x14ac:dyDescent="0.25">
      <c r="Z18" s="29" t="str">
        <f t="shared" si="0"/>
        <v/>
      </c>
    </row>
    <row r="19" spans="26:26" x14ac:dyDescent="0.25">
      <c r="Z19" s="29" t="str">
        <f t="shared" si="0"/>
        <v/>
      </c>
    </row>
    <row r="20" spans="26:26" x14ac:dyDescent="0.25">
      <c r="Z20" s="29" t="str">
        <f t="shared" si="0"/>
        <v/>
      </c>
    </row>
    <row r="21" spans="26:26" x14ac:dyDescent="0.25">
      <c r="Z21" s="29" t="str">
        <f t="shared" si="0"/>
        <v/>
      </c>
    </row>
    <row r="22" spans="26:26" x14ac:dyDescent="0.25">
      <c r="Z22" s="29" t="str">
        <f t="shared" si="0"/>
        <v/>
      </c>
    </row>
    <row r="23" spans="26:26" x14ac:dyDescent="0.25">
      <c r="Z23" s="29" t="str">
        <f t="shared" si="0"/>
        <v/>
      </c>
    </row>
    <row r="24" spans="26:26" x14ac:dyDescent="0.25">
      <c r="Z24" s="29" t="str">
        <f t="shared" si="0"/>
        <v/>
      </c>
    </row>
    <row r="38" spans="28:28" x14ac:dyDescent="0.25">
      <c r="AB38" s="29" t="str">
        <f>IF($A38="","",$W38*$X38*$Y38*$Z38*$AA38)</f>
        <v/>
      </c>
    </row>
    <row r="39" spans="28:28" x14ac:dyDescent="0.25">
      <c r="AB39" s="29" t="str">
        <f t="shared" ref="AB39:AB57" si="1">IF($A39="","",$W39*$X39*$Y39*$Z39*$AA39)</f>
        <v/>
      </c>
    </row>
    <row r="40" spans="28:28" x14ac:dyDescent="0.25">
      <c r="AB40" s="29" t="str">
        <f t="shared" si="1"/>
        <v/>
      </c>
    </row>
    <row r="41" spans="28:28" x14ac:dyDescent="0.25">
      <c r="AB41" s="29" t="str">
        <f t="shared" si="1"/>
        <v/>
      </c>
    </row>
    <row r="42" spans="28:28" x14ac:dyDescent="0.25">
      <c r="AB42" s="29" t="str">
        <f t="shared" si="1"/>
        <v/>
      </c>
    </row>
    <row r="43" spans="28:28" x14ac:dyDescent="0.25">
      <c r="AB43" s="29" t="str">
        <f t="shared" si="1"/>
        <v/>
      </c>
    </row>
    <row r="44" spans="28:28" x14ac:dyDescent="0.25">
      <c r="AB44" s="29" t="str">
        <f t="shared" si="1"/>
        <v/>
      </c>
    </row>
    <row r="45" spans="28:28" x14ac:dyDescent="0.25">
      <c r="AB45" s="29" t="str">
        <f t="shared" si="1"/>
        <v/>
      </c>
    </row>
    <row r="46" spans="28:28" x14ac:dyDescent="0.25">
      <c r="AB46" s="29" t="str">
        <f t="shared" si="1"/>
        <v/>
      </c>
    </row>
    <row r="47" spans="28:28" x14ac:dyDescent="0.25">
      <c r="AB47" s="29" t="str">
        <f t="shared" si="1"/>
        <v/>
      </c>
    </row>
    <row r="48" spans="28:28" x14ac:dyDescent="0.25">
      <c r="AB48" s="29" t="str">
        <f t="shared" si="1"/>
        <v/>
      </c>
    </row>
    <row r="49" spans="28:28" x14ac:dyDescent="0.25">
      <c r="AB49" s="29" t="str">
        <f t="shared" si="1"/>
        <v/>
      </c>
    </row>
    <row r="50" spans="28:28" x14ac:dyDescent="0.25">
      <c r="AB50" s="29" t="str">
        <f t="shared" si="1"/>
        <v/>
      </c>
    </row>
    <row r="51" spans="28:28" x14ac:dyDescent="0.25">
      <c r="AB51" s="29" t="str">
        <f t="shared" si="1"/>
        <v/>
      </c>
    </row>
    <row r="52" spans="28:28" x14ac:dyDescent="0.25">
      <c r="AB52" s="29" t="str">
        <f t="shared" si="1"/>
        <v/>
      </c>
    </row>
    <row r="53" spans="28:28" x14ac:dyDescent="0.25">
      <c r="AB53" s="29" t="str">
        <f t="shared" si="1"/>
        <v/>
      </c>
    </row>
    <row r="54" spans="28:28" x14ac:dyDescent="0.25">
      <c r="AB54" s="29" t="str">
        <f t="shared" si="1"/>
        <v/>
      </c>
    </row>
    <row r="55" spans="28:28" x14ac:dyDescent="0.25">
      <c r="AB55" s="29" t="str">
        <f t="shared" si="1"/>
        <v/>
      </c>
    </row>
    <row r="56" spans="28:28" x14ac:dyDescent="0.25">
      <c r="AB56" s="29" t="str">
        <f t="shared" si="1"/>
        <v/>
      </c>
    </row>
    <row r="57" spans="28:28" x14ac:dyDescent="0.25">
      <c r="AB57" s="29" t="str">
        <f t="shared" si="1"/>
        <v/>
      </c>
    </row>
  </sheetData>
  <sheetProtection password="C5B9" sheet="1" objects="1" scenarios="1"/>
  <mergeCells count="2">
    <mergeCell ref="L14:M14"/>
    <mergeCell ref="L15:M1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4" tint="0.79998168889431442"/>
  </sheetPr>
  <dimension ref="A1:AR65"/>
  <sheetViews>
    <sheetView zoomScaleNormal="100" workbookViewId="0"/>
  </sheetViews>
  <sheetFormatPr defaultRowHeight="15.75" x14ac:dyDescent="0.25"/>
  <cols>
    <col min="1" max="1" width="13" customWidth="1"/>
    <col min="5" max="5" width="11.375" bestFit="1" customWidth="1"/>
    <col min="6" max="6" width="6.75" bestFit="1" customWidth="1"/>
    <col min="7" max="7" width="7.25" bestFit="1" customWidth="1"/>
    <col min="8" max="8" width="7.625" bestFit="1" customWidth="1"/>
    <col min="9" max="9" width="9.125" customWidth="1"/>
    <col min="10" max="10" width="13.125" customWidth="1"/>
    <col min="11" max="11" width="9.75" customWidth="1"/>
    <col min="12" max="12" width="9.375" customWidth="1"/>
    <col min="13" max="13" width="9" customWidth="1"/>
    <col min="14" max="14" width="7.25" customWidth="1"/>
    <col min="21" max="21" width="10.375" bestFit="1" customWidth="1"/>
    <col min="22" max="22" width="9.5" bestFit="1" customWidth="1"/>
    <col min="27" max="27" width="10" customWidth="1"/>
    <col min="31" max="31" width="9.875" customWidth="1"/>
    <col min="34" max="34" width="10.375" bestFit="1" customWidth="1"/>
  </cols>
  <sheetData>
    <row r="1" spans="1:35" ht="17.25" x14ac:dyDescent="0.3">
      <c r="A1" s="2" t="s">
        <v>136</v>
      </c>
      <c r="W1" s="34" t="s">
        <v>150</v>
      </c>
      <c r="X1" s="28"/>
      <c r="Y1" s="28"/>
      <c r="Z1" s="28"/>
      <c r="AB1" s="624" t="s">
        <v>53</v>
      </c>
      <c r="AC1" s="28"/>
      <c r="AH1" s="2" t="s">
        <v>390</v>
      </c>
    </row>
    <row r="2" spans="1:35" ht="15.75" customHeight="1" x14ac:dyDescent="0.25">
      <c r="A2" s="28" t="s">
        <v>21</v>
      </c>
      <c r="B2" s="5">
        <f>IF(Inputs!$C$36="",NA(),Inputs!$C$36)</f>
        <v>0.44</v>
      </c>
      <c r="C2" t="s">
        <v>22</v>
      </c>
      <c r="M2" s="6"/>
      <c r="N2" s="6"/>
      <c r="W2" s="28"/>
      <c r="X2" s="28"/>
      <c r="Y2" s="28"/>
      <c r="Z2" s="28"/>
      <c r="AB2" s="624"/>
      <c r="AC2" s="28"/>
      <c r="AE2" s="624" t="s">
        <v>69</v>
      </c>
      <c r="AF2" s="1"/>
    </row>
    <row r="3" spans="1:35" ht="18" x14ac:dyDescent="0.35">
      <c r="A3" s="28" t="s">
        <v>49</v>
      </c>
      <c r="B3" s="79">
        <f>IF(Fpga="",NA(),Fpga)</f>
        <v>1.06</v>
      </c>
      <c r="J3" s="47" t="s">
        <v>20</v>
      </c>
      <c r="K3" s="48">
        <f>Hammer_Eff</f>
        <v>77</v>
      </c>
      <c r="L3" s="28"/>
      <c r="M3" s="6"/>
      <c r="N3" s="6"/>
      <c r="W3" s="31" t="s">
        <v>65</v>
      </c>
      <c r="X3" s="28">
        <v>101.325</v>
      </c>
      <c r="Y3" s="28" t="s">
        <v>42</v>
      </c>
      <c r="Z3" s="28"/>
      <c r="AB3" s="625"/>
      <c r="AC3" s="32" t="s">
        <v>60</v>
      </c>
      <c r="AE3" s="625"/>
      <c r="AF3" s="39" t="s">
        <v>59</v>
      </c>
    </row>
    <row r="4" spans="1:35" x14ac:dyDescent="0.25">
      <c r="A4" s="28" t="s">
        <v>38</v>
      </c>
      <c r="B4" s="270">
        <f>IF(design_gw="",NA(),IF(units=2,CONVERT(design_gw,"ft","m"),design_gw))</f>
        <v>0</v>
      </c>
      <c r="C4" t="s">
        <v>23</v>
      </c>
      <c r="J4" s="47" t="s">
        <v>75</v>
      </c>
      <c r="K4" s="70">
        <f>IF(units=1,Bore_Diam,CONVERT(Bore_Diam,"in","m")*1000)</f>
        <v>107.95</v>
      </c>
      <c r="L4" s="72" t="s">
        <v>76</v>
      </c>
      <c r="W4" s="28"/>
      <c r="X4" s="28">
        <v>2116.2159999999999</v>
      </c>
      <c r="Y4" s="28" t="s">
        <v>43</v>
      </c>
      <c r="Z4" s="28"/>
      <c r="AB4" s="31" t="s">
        <v>54</v>
      </c>
      <c r="AC4" s="22">
        <v>1</v>
      </c>
      <c r="AE4" s="37" t="s">
        <v>70</v>
      </c>
      <c r="AF4" s="22">
        <v>0.75</v>
      </c>
    </row>
    <row r="5" spans="1:35" ht="18" x14ac:dyDescent="0.35">
      <c r="A5" s="28" t="s">
        <v>50</v>
      </c>
      <c r="B5" s="5">
        <f>IF(Inputs!$C$38="",NA(),Inputs!$C$38)</f>
        <v>6.77</v>
      </c>
      <c r="J5" s="31" t="s">
        <v>52</v>
      </c>
      <c r="K5" s="74">
        <f>IF(units=1,Rod_stickup,CONVERT(Rod_stickup,"ft","m"))</f>
        <v>1.524</v>
      </c>
      <c r="L5" s="72" t="s">
        <v>23</v>
      </c>
      <c r="W5" s="28"/>
      <c r="X5" s="28"/>
      <c r="Y5" s="28"/>
      <c r="Z5" s="28"/>
      <c r="AB5" s="31" t="s">
        <v>55</v>
      </c>
      <c r="AC5" s="22">
        <v>1.05</v>
      </c>
      <c r="AE5" s="37" t="s">
        <v>71</v>
      </c>
      <c r="AF5" s="22">
        <v>0.8</v>
      </c>
    </row>
    <row r="6" spans="1:35" ht="17.25" x14ac:dyDescent="0.25">
      <c r="A6" s="28" t="s">
        <v>51</v>
      </c>
      <c r="B6" s="466">
        <f>IF(Inputs!$C$50="",NA(),Inputs!$C$50)</f>
        <v>35.14</v>
      </c>
      <c r="C6" t="s">
        <v>24</v>
      </c>
      <c r="W6" s="28"/>
      <c r="X6" s="28"/>
      <c r="Y6" s="28"/>
      <c r="Z6" s="28"/>
      <c r="AB6" s="31" t="s">
        <v>56</v>
      </c>
      <c r="AC6" s="22">
        <v>1.1499999999999999</v>
      </c>
      <c r="AE6" s="37" t="s">
        <v>72</v>
      </c>
      <c r="AF6" s="22">
        <v>0.85</v>
      </c>
    </row>
    <row r="7" spans="1:35" ht="18" x14ac:dyDescent="0.35">
      <c r="A7" s="7" t="s">
        <v>25</v>
      </c>
      <c r="B7" s="79">
        <v>0.27700000000000002</v>
      </c>
      <c r="AE7" s="37" t="s">
        <v>73</v>
      </c>
      <c r="AF7" s="22">
        <v>0.95</v>
      </c>
    </row>
    <row r="8" spans="1:35" ht="16.5" thickBot="1" x14ac:dyDescent="0.3">
      <c r="A8" s="28"/>
      <c r="B8" s="8"/>
      <c r="C8" s="8"/>
      <c r="G8" s="626" t="s">
        <v>442</v>
      </c>
      <c r="H8" s="626"/>
      <c r="U8" s="626" t="s">
        <v>441</v>
      </c>
      <c r="V8" s="626"/>
      <c r="AE8" s="37" t="s">
        <v>74</v>
      </c>
      <c r="AF8" s="22">
        <v>1</v>
      </c>
    </row>
    <row r="9" spans="1:35" ht="20.25" x14ac:dyDescent="0.35">
      <c r="A9" s="23" t="s">
        <v>9</v>
      </c>
      <c r="B9" s="24" t="s">
        <v>44</v>
      </c>
      <c r="C9" s="36" t="s">
        <v>39</v>
      </c>
      <c r="D9" s="24" t="s">
        <v>11</v>
      </c>
      <c r="E9" s="133" t="s">
        <v>12</v>
      </c>
      <c r="F9" s="24" t="s">
        <v>45</v>
      </c>
      <c r="G9" s="24" t="s">
        <v>46</v>
      </c>
      <c r="H9" s="24" t="s">
        <v>47</v>
      </c>
      <c r="I9" s="9" t="s">
        <v>386</v>
      </c>
      <c r="J9" s="24" t="s">
        <v>385</v>
      </c>
      <c r="K9" s="24" t="s">
        <v>384</v>
      </c>
      <c r="L9" s="24" t="s">
        <v>383</v>
      </c>
      <c r="M9" s="83" t="s">
        <v>387</v>
      </c>
      <c r="N9" s="24" t="s">
        <v>48</v>
      </c>
      <c r="O9" s="225" t="s">
        <v>210</v>
      </c>
      <c r="P9" s="25" t="s">
        <v>27</v>
      </c>
      <c r="Q9" s="26" t="s">
        <v>28</v>
      </c>
      <c r="R9" s="26" t="s">
        <v>29</v>
      </c>
      <c r="S9" s="26" t="s">
        <v>30</v>
      </c>
      <c r="T9" s="27" t="s">
        <v>31</v>
      </c>
      <c r="U9" s="81" t="s">
        <v>46</v>
      </c>
      <c r="V9" s="81" t="s">
        <v>47</v>
      </c>
      <c r="W9" s="22" t="s">
        <v>13</v>
      </c>
      <c r="X9" s="22" t="s">
        <v>57</v>
      </c>
      <c r="Y9" s="22" t="s">
        <v>58</v>
      </c>
      <c r="Z9" s="38" t="s">
        <v>59</v>
      </c>
      <c r="AA9" s="38" t="s">
        <v>60</v>
      </c>
      <c r="AB9" s="38" t="s">
        <v>61</v>
      </c>
      <c r="AC9" s="22" t="s">
        <v>62</v>
      </c>
      <c r="AE9" s="22" t="s">
        <v>157</v>
      </c>
      <c r="AH9" t="s">
        <v>389</v>
      </c>
      <c r="AI9" t="s">
        <v>388</v>
      </c>
    </row>
    <row r="10" spans="1:35" x14ac:dyDescent="0.25">
      <c r="A10" s="104">
        <f>IF(Inputs!B13="","",IF(units=2,CONVERT(Inputs!B13,"ft","m"),Inputs!B13))</f>
        <v>0.4572</v>
      </c>
      <c r="B10" s="96">
        <f ca="1">IF(AC10="","",AC10)</f>
        <v>32.725000000000009</v>
      </c>
      <c r="C10" s="96">
        <f>IF(Inputs!E13="","",IF(units=2,Inputs!E13*0.1571,Inputs!E13))</f>
        <v>19.527529999999999</v>
      </c>
      <c r="D10" s="15">
        <f>IF(Inputs!F13="","",Inputs!F13)</f>
        <v>10</v>
      </c>
      <c r="E10" s="107">
        <f>IF(Inputs!G13="","",IF(units=2,CONVERT(Inputs!G13,"ft","m"),Inputs!G13))</f>
        <v>0.91439999999999999</v>
      </c>
      <c r="F10" s="89">
        <f ca="1">IF(OR(B10="",Method_BI=FALSE),NA(),B10+EXP(1.63+9.7/(D10+0.01)-(15.7/(D10+0.01))^2))</f>
        <v>33.874185446686866</v>
      </c>
      <c r="G10" s="90">
        <f>IF(A10="","",C10*A10)</f>
        <v>8.9279867159999995</v>
      </c>
      <c r="H10" s="90">
        <f>IF(A10="","",IF(A10&lt;$B$4,G10,G10-(A10-$B$4)*9.807))</f>
        <v>4.4442263159999991</v>
      </c>
      <c r="I10" s="99">
        <f>IF(OR(A10&lt;$B$4,A10=""),"",LN((G10/H10)/2))</f>
        <v>4.437940501368893E-3</v>
      </c>
      <c r="J10" s="99">
        <f>IF(OR(A10&lt;$B$4,A10=""),"",-0.6712-1.126*SIN(A10/11.73+5.133)+(0.0675+0.118*SIN(A10/11.28+5.142))*$B$5)</f>
        <v>8.2749455809781491E-2</v>
      </c>
      <c r="K10" s="99">
        <f>IF(OR(A10="",A10&lt;$B$4),"",LN($B$3/1))</f>
        <v>5.8268908123975824E-2</v>
      </c>
      <c r="L10" s="18">
        <f ca="1">IF(OR(A10="",$A10&lt;$B$4),"",LN(1.0672/(1-LN(H10/101.3)*MIN(0.3,1/(18.9-2.55*SQRT(F10))))))</f>
        <v>-0.50612930629253805</v>
      </c>
      <c r="M10" s="18">
        <f t="shared" ref="M10:M29" ca="1" si="0">IF(A10="","",IF(IB_MSF=2012,0,-LN((1+(AH10-1)*(8.64*EXP(-Mw_prob/4)-1.325))/(1+(AI10-1)*(8.64*EXP(-Mw_prob/4)-1.325)))))</f>
        <v>-9.3576671759276725E-2</v>
      </c>
      <c r="N10" s="18">
        <f ca="1">IF(OR(A10="",A10&lt;$B$4),"",I10+J10+K10+L10+M10)</f>
        <v>-0.45424967361668855</v>
      </c>
      <c r="O10" s="226">
        <f>IF(Inputs!H13="",1,Inputs!H13)</f>
        <v>1</v>
      </c>
      <c r="P10" s="124">
        <f ca="1">IF(OR(N10="",Inputs!J13="No",Method_BI=FALSE),NA(),EXP(LN($B$6/100)+N10))</f>
        <v>0.22311236023806372</v>
      </c>
      <c r="Q10" s="100">
        <f t="shared" ref="Q10:Q29" ca="1" si="1">IF(OR(A10="",Method_BI=FALSE),NA(),O10*EXP((F10/14.1)+(F10/126)^2-(F10/23.6)^3+(F10/25.4)^4-2.67))</f>
        <v>1.010930585237902</v>
      </c>
      <c r="R10" s="101">
        <f ca="1">IF(OR(N10="",Inputs!J13="No",Method_BI=FALSE),NA(),Q10/P10)</f>
        <v>4.531038012233954</v>
      </c>
      <c r="S10" s="102">
        <v>19.147705078125</v>
      </c>
      <c r="T10" s="125">
        <f ca="1">IF(OR(N10="",Method_BI=FALSE),NA(),_xlfn.NORM.S.DIST(-LN(R10)/$B$7,TRUE))</f>
        <v>2.4528218109277166E-8</v>
      </c>
      <c r="U10" s="523">
        <f>IF(A10="","",C10*A10)</f>
        <v>8.9279867159999995</v>
      </c>
      <c r="V10" s="523">
        <f t="shared" ref="V10:V29" si="2">IF(A10="","",IF(A10&lt;IF(units=2,CONVERT(gw_depth,"ft","m"),gw_depth),U10,U10-((A10-IF(units=2,CONVERT(gw_depth,"ft","m"),gw_depth))*9.807)))</f>
        <v>8.9279867159999995</v>
      </c>
      <c r="W10" s="29">
        <f>IF(Inputs!C13="","",IF(Inputs!D13="Standard SS (2-in OD)",Inputs!C13,IF(Inputs!D13="Non-Standard (3-in OD)",Inputs!C13*0.44,IF(Inputs!D13="Non-Standard (2.5-in OD)",Inputs!C13*0.64, IF(Inputs!D13="D&amp;M SS (3.25-in OD)",Inputs!C13*0.3786,IF(Inputs!D13="Custom Factor",Inputs!C13*NFACT))))))</f>
        <v>20</v>
      </c>
      <c r="X10" s="29">
        <f t="shared" ref="X10:X29" ca="1" si="3">IF(A10="","",IF(($X$3/V10)^(0.784-0.0768*SQRT(AC10))&lt;=1.7,($X$3/V10)^(0.784-0.0768*SQRT(AC10)),1.7))</f>
        <v>1.7</v>
      </c>
      <c r="Y10" s="29">
        <f t="shared" ref="Y10:Y29" si="4">IF(A10="","",Efficiency/60)</f>
        <v>1.2833333333333334</v>
      </c>
      <c r="Z10" s="29">
        <f t="shared" ref="Z10:Z29" si="5">IF(A10="","",IF(Rod_L+A10&lt;3,0.75,IF(Rod_L+A10&lt;4,0.8,IF(Rod_L+A10&lt;6,0.85,IF(Rod_L+A10&lt;10,0.95,1)))))</f>
        <v>0.75</v>
      </c>
      <c r="AA10" s="29">
        <f t="shared" ref="AA10:AA29" si="6">IF(A43="","",IF(Bore_D&lt;=115,1,IF(Bore_D&lt;200,1.05,1.15)))</f>
        <v>1</v>
      </c>
      <c r="AB10" s="29">
        <f t="shared" ref="AB10:AB29" si="7">IF(A10="","",IF(no_liners="NL",IF(AC10&lt;=10,1.1,IF(AC10&gt;30,1.3,1+AC10/100)),1))</f>
        <v>1</v>
      </c>
      <c r="AC10" s="29">
        <f t="shared" ref="AC10:AE29" ca="1" si="8">IF($A10="","",IF($A10="","",$W10*$X10*$Y10*$Z10*$AA10*$AB10))</f>
        <v>32.725000000000009</v>
      </c>
      <c r="AE10" s="29">
        <f t="shared" ca="1" si="8"/>
        <v>32.725000000000009</v>
      </c>
      <c r="AH10" s="464">
        <f ca="1">MIN(1.09+(F10/31.5)^2,2.2)</f>
        <v>2.2000000000000002</v>
      </c>
      <c r="AI10" s="464">
        <f>MIN(1.09+(((1.237*(-LN($B$6/100))^4)-(4.918*(-LN($B$6/100))^3)+(1.762*(-LN($B$6/100))^2)-(5.473*(-LN($B$6/100)))+33.65)/31.5)^2,2.2)</f>
        <v>1.7560412973596036</v>
      </c>
    </row>
    <row r="11" spans="1:35" x14ac:dyDescent="0.25">
      <c r="A11" s="105">
        <f>IF(Inputs!B14="","",IF(units=2,CONVERT(Inputs!B14,"ft","m"),Inputs!B14))</f>
        <v>1.6763999999999999</v>
      </c>
      <c r="B11" s="35">
        <f t="shared" ref="B11:B28" ca="1" si="9">IF(AC11="","",AC11)</f>
        <v>10.751253333333334</v>
      </c>
      <c r="C11" s="35">
        <f>IF(Inputs!E14="","",IF(units=2,Inputs!E14*0.1571,Inputs!E14))</f>
        <v>19.527529999999999</v>
      </c>
      <c r="D11" s="10">
        <f>IF(Inputs!F14="","",Inputs!F14)</f>
        <v>10</v>
      </c>
      <c r="E11" s="108">
        <f>IF(Inputs!G14="","",IF(units=2,CONVERT(Inputs!G14,"ft","m"),Inputs!G14))</f>
        <v>1.524</v>
      </c>
      <c r="F11" s="92">
        <f t="shared" ref="F11:F29" ca="1" si="10">IF(OR(B11="",Method_BI=FALSE),NA(),B11+EXP(1.63+9.7/(D11+0.01)-(15.7/(D11+0.01))^2))</f>
        <v>11.900438780020192</v>
      </c>
      <c r="G11" s="17">
        <f>IF(A11="","",G10+(SUM(E$10:E10)-A10)*C10+(A11-SUM(E$10:E10))*C11)</f>
        <v>32.735951291999996</v>
      </c>
      <c r="H11" s="17">
        <f>IF(A11="","",IF(A11&lt;$B$4,G11,G11-(A11-$B$4)*9.807))</f>
        <v>16.295496491999995</v>
      </c>
      <c r="I11" s="18">
        <f>IF(OR(A11&lt;$B$4,A11=""),"",LN((G11/H11)/2))</f>
        <v>4.437940501368893E-3</v>
      </c>
      <c r="J11" s="18">
        <f>IF(OR(A11&lt;$B$4,A11=""),"",-0.6712-1.126*SIN(A11/11.73+5.133)+(0.0675+0.118*SIN(A11/11.28+5.142))*$B$5)</f>
        <v>6.8677742983326462E-2</v>
      </c>
      <c r="K11" s="18">
        <f>IF(OR(A11="",A11&lt;$B$4),"",LN($B$3/1))</f>
        <v>5.8268908123975824E-2</v>
      </c>
      <c r="L11" s="18">
        <f t="shared" ref="L11:L29" ca="1" si="11">IF(OR(A11="",$A11&lt;$B$4),"",LN(1.0672/(1-LN(H11/101.3)*MIN(0.3,1/(18.9-2.55*SQRT(F11))))))</f>
        <v>-0.10119802767870599</v>
      </c>
      <c r="M11" s="18">
        <f t="shared" ca="1" si="0"/>
        <v>0.12287849024008908</v>
      </c>
      <c r="N11" s="18">
        <f t="shared" ref="N11:N29" ca="1" si="12">IF(OR(A11="",A11&lt;$B$4),"",I11+J11+K11+L11+M11)</f>
        <v>0.15306505417005425</v>
      </c>
      <c r="O11" s="227">
        <f>IF(Inputs!H14="",1,Inputs!H14)</f>
        <v>1</v>
      </c>
      <c r="P11" s="126">
        <f ca="1">IF(OR(N11="",Inputs!J14="No",Method_BI=FALSE),NA(),EXP(LN($B$6/100)+N11))</f>
        <v>0.40952183783721907</v>
      </c>
      <c r="Q11" s="44">
        <f t="shared" ca="1" si="1"/>
        <v>0.15000143450236353</v>
      </c>
      <c r="R11" s="19">
        <f ca="1">IF(OR(N11="",Inputs!J14="No",Method_BI=FALSE),NA(),Q11/P11)</f>
        <v>0.36628433612858424</v>
      </c>
      <c r="S11" s="97">
        <v>27.375556945800781</v>
      </c>
      <c r="T11" s="127">
        <f t="shared" ref="T11:T29" ca="1" si="13">IF(OR(N11="",Method_BI=FALSE),NA(),_xlfn.NORM.S.DIST(-LN(R11)/$B$7,TRUE))</f>
        <v>0.99985596340517657</v>
      </c>
      <c r="U11" s="523">
        <f t="shared" ref="U11:U29" si="14">IF(A11="","",C11*A11)</f>
        <v>32.735951291999996</v>
      </c>
      <c r="V11" s="523">
        <f t="shared" si="2"/>
        <v>31.241364491999995</v>
      </c>
      <c r="W11" s="29">
        <f>IF(Inputs!C14="","",IF(Inputs!D14="Standard SS (2-in OD)",Inputs!C14,IF(Inputs!D14="Non-Standard (3-in OD)",Inputs!C14*0.44,IF(Inputs!D14="Non-Standard (2.5-in OD)",Inputs!C14*0.64, IF(Inputs!D14="D&amp;M SS (3.25-in OD)",Inputs!C14*0.3786,IF(Inputs!D14="Custom Factor",Inputs!C14*NFACT))))))</f>
        <v>6.16</v>
      </c>
      <c r="X11" s="29">
        <f t="shared" ca="1" si="3"/>
        <v>1.7</v>
      </c>
      <c r="Y11" s="29">
        <f t="shared" si="4"/>
        <v>1.2833333333333334</v>
      </c>
      <c r="Z11" s="29">
        <f t="shared" si="5"/>
        <v>0.8</v>
      </c>
      <c r="AA11" s="29">
        <f t="shared" si="6"/>
        <v>1</v>
      </c>
      <c r="AB11" s="29">
        <f t="shared" si="7"/>
        <v>1</v>
      </c>
      <c r="AC11" s="29">
        <f t="shared" ca="1" si="8"/>
        <v>10.751253333333334</v>
      </c>
      <c r="AE11" s="29">
        <f t="shared" ca="1" si="8"/>
        <v>10.751253333333334</v>
      </c>
      <c r="AH11" s="464">
        <f t="shared" ref="AH11:AH27" ca="1" si="15">MIN(1.09+(F11/31.5)^2,2.2)</f>
        <v>1.2327265741063327</v>
      </c>
      <c r="AI11" s="464">
        <f t="shared" ref="AI11:AI27" si="16">MIN(1.09+(((1.237*(-LN($B$6/100))^4)-(4.918*(-LN($B$6/100))^3)+(1.762*(-LN($B$6/100))^2)-(5.473*(-LN($B$6/100)))+33.65)/31.5)^2,2.2)</f>
        <v>1.7560412973596036</v>
      </c>
    </row>
    <row r="12" spans="1:35" x14ac:dyDescent="0.25">
      <c r="A12" s="105">
        <f>IF(Inputs!B15="","",IF(units=2,CONVERT(Inputs!B15,"ft","m"),Inputs!B15))</f>
        <v>3.2004000000000001</v>
      </c>
      <c r="B12" s="35">
        <f t="shared" ca="1" si="9"/>
        <v>12.544218221569151</v>
      </c>
      <c r="C12" s="35">
        <f>IF(Inputs!E15="","",IF(units=2,Inputs!E15*0.1571,Inputs!E15))</f>
        <v>19.527529999999999</v>
      </c>
      <c r="D12" s="10">
        <f>IF(Inputs!F15="","",Inputs!F15)</f>
        <v>10</v>
      </c>
      <c r="E12" s="108">
        <f>IF(Inputs!G15="","",IF(units=2,CONVERT(Inputs!G15,"ft","m"),Inputs!G15))</f>
        <v>1.524</v>
      </c>
      <c r="F12" s="92">
        <f t="shared" ca="1" si="10"/>
        <v>13.693403668256009</v>
      </c>
      <c r="G12" s="17">
        <f>IF(A12="","",G11+(SUM(E$10:E11)-A11)*C11+(A12-SUM(E$10:E11))*C12)</f>
        <v>62.495907011999996</v>
      </c>
      <c r="H12" s="118">
        <f t="shared" ref="H12:H29" si="17">IF(A12="","",IF(A12&lt;$B$4,G12,G12-(A12-$B$4)*9.807))</f>
        <v>31.109584211999994</v>
      </c>
      <c r="I12" s="18">
        <f t="shared" ref="I12:I27" si="18">IF(OR(A12&lt;$B$4,A12=""),"",LN((G12/H12)/2))</f>
        <v>4.437940501368893E-3</v>
      </c>
      <c r="J12" s="18">
        <f t="shared" ref="J12:J27" si="19">IF(OR(A12&lt;$B$4,A12=""),"",-0.6712-1.126*SIN(A12/11.73+5.133)+(0.0675+0.118*SIN(A12/11.28+5.142))*$B$5)</f>
        <v>4.7634880394256979E-2</v>
      </c>
      <c r="K12" s="18">
        <f t="shared" ref="K12:K27" si="20">IF(OR(A12="",A12&lt;$B$4),"",LN($B$3/1))</f>
        <v>5.8268908123975824E-2</v>
      </c>
      <c r="L12" s="18">
        <f t="shared" ca="1" si="11"/>
        <v>-5.2518449077439897E-2</v>
      </c>
      <c r="M12" s="18">
        <f t="shared" ca="1" si="0"/>
        <v>0.11139013258480199</v>
      </c>
      <c r="N12" s="18">
        <f t="shared" ca="1" si="12"/>
        <v>0.16921341252696379</v>
      </c>
      <c r="O12" s="227">
        <f>IF(Inputs!H15="",1,Inputs!H15)</f>
        <v>1</v>
      </c>
      <c r="P12" s="126">
        <f ca="1">IF(OR(N12="",Inputs!J15="No",Method_BI=FALSE),NA(),EXP(LN($B$6/100)+N12))</f>
        <v>0.4161886272075469</v>
      </c>
      <c r="Q12" s="44">
        <f t="shared" ca="1" si="1"/>
        <v>0.165646826340756</v>
      </c>
      <c r="R12" s="19">
        <f ca="1">IF(OR(N12="",Inputs!J15="No",Method_BI=FALSE),NA(),Q12/P12)</f>
        <v>0.39800901685415463</v>
      </c>
      <c r="S12" s="97">
        <v>27.535186767578125</v>
      </c>
      <c r="T12" s="127">
        <f t="shared" ca="1" si="13"/>
        <v>0.99955936835106585</v>
      </c>
      <c r="U12" s="523">
        <f t="shared" si="14"/>
        <v>62.495907011999996</v>
      </c>
      <c r="V12" s="523">
        <f t="shared" si="2"/>
        <v>46.055452211999992</v>
      </c>
      <c r="W12" s="29">
        <f>IF(Inputs!C15="","",IF(Inputs!D15="Standard SS (2-in OD)",Inputs!C15,IF(Inputs!D15="Non-Standard (3-in OD)",Inputs!C15*0.44,IF(Inputs!D15="Non-Standard (2.5-in OD)",Inputs!C15*0.64, IF(Inputs!D15="D&amp;M SS (3.25-in OD)",Inputs!C15*0.3786,IF(Inputs!D15="Custom Factor",Inputs!C15*NFACT))))))</f>
        <v>7.68</v>
      </c>
      <c r="X12" s="29">
        <f t="shared" ca="1" si="3"/>
        <v>1.4973522514287088</v>
      </c>
      <c r="Y12" s="29">
        <f t="shared" si="4"/>
        <v>1.2833333333333334</v>
      </c>
      <c r="Z12" s="29">
        <f t="shared" si="5"/>
        <v>0.85</v>
      </c>
      <c r="AA12" s="29">
        <f t="shared" si="6"/>
        <v>1</v>
      </c>
      <c r="AB12" s="29">
        <f t="shared" si="7"/>
        <v>1</v>
      </c>
      <c r="AC12" s="29">
        <f t="shared" ca="1" si="8"/>
        <v>12.544218221569151</v>
      </c>
      <c r="AE12" s="29">
        <f t="shared" ca="1" si="8"/>
        <v>12.544218221569151</v>
      </c>
      <c r="AG12" s="8"/>
      <c r="AH12" s="464">
        <f t="shared" ca="1" si="15"/>
        <v>1.278973851369924</v>
      </c>
      <c r="AI12" s="464">
        <f t="shared" si="16"/>
        <v>1.7560412973596036</v>
      </c>
    </row>
    <row r="13" spans="1:35" x14ac:dyDescent="0.25">
      <c r="A13" s="105">
        <f>IF(Inputs!B16="","",IF(units=2,CONVERT(Inputs!B16,"ft","m"),Inputs!B16))</f>
        <v>4.5720000000000001</v>
      </c>
      <c r="B13" s="35">
        <f t="shared" ca="1" si="9"/>
        <v>1.9867806522050186</v>
      </c>
      <c r="C13" s="35">
        <f>IF(Inputs!E16="","",IF(units=2,Inputs!E16*0.1571,Inputs!E16))</f>
        <v>19.527529999999999</v>
      </c>
      <c r="D13" s="10">
        <f>IF(Inputs!F16="","",Inputs!F16)</f>
        <v>60</v>
      </c>
      <c r="E13" s="108">
        <f>IF(Inputs!G16="","",IF(units=2,CONVERT(Inputs!G16,"ft","m"),Inputs!G16))</f>
        <v>1.2192000000000001</v>
      </c>
      <c r="F13" s="92">
        <f t="shared" ca="1" si="10"/>
        <v>7.5891695726420965</v>
      </c>
      <c r="G13" s="17">
        <f>IF(A13="","",G12+(SUM(E$10:E12)-A12)*C12+(A13-SUM(E$10:E12))*C13)</f>
        <v>89.279867159999995</v>
      </c>
      <c r="H13" s="17">
        <f t="shared" si="17"/>
        <v>44.442263159999996</v>
      </c>
      <c r="I13" s="18">
        <f t="shared" si="18"/>
        <v>4.437940501368893E-3</v>
      </c>
      <c r="J13" s="18">
        <f t="shared" si="19"/>
        <v>2.5621229777169116E-2</v>
      </c>
      <c r="K13" s="18">
        <f t="shared" si="20"/>
        <v>5.8268908123975824E-2</v>
      </c>
      <c r="L13" s="18">
        <f t="shared" ca="1" si="11"/>
        <v>-2.0404796681832713E-3</v>
      </c>
      <c r="M13" s="18">
        <f t="shared" ca="1" si="0"/>
        <v>0.14426260144550476</v>
      </c>
      <c r="N13" s="18">
        <f t="shared" ca="1" si="12"/>
        <v>0.23055020017983532</v>
      </c>
      <c r="O13" s="227">
        <f>IF(Inputs!H16="",1,Inputs!H16)</f>
        <v>1</v>
      </c>
      <c r="P13" s="126" t="e">
        <f ca="1">IF(OR(N13="",Inputs!J16="No",Method_BI=FALSE),NA(),EXP(LN($B$6/100)+N13))</f>
        <v>#N/A</v>
      </c>
      <c r="Q13" s="44">
        <f t="shared" ca="1" si="1"/>
        <v>0.11608672878067261</v>
      </c>
      <c r="R13" s="19" t="e">
        <f ca="1">IF(OR(N13="",Inputs!J16="No",Method_BI=FALSE),NA(),Q13/P13)</f>
        <v>#N/A</v>
      </c>
      <c r="S13" s="97" t="e">
        <v>#N/A</v>
      </c>
      <c r="T13" s="127" t="e">
        <f t="shared" ca="1" si="13"/>
        <v>#N/A</v>
      </c>
      <c r="U13" s="523">
        <f t="shared" si="14"/>
        <v>89.279867159999995</v>
      </c>
      <c r="V13" s="523">
        <f t="shared" si="2"/>
        <v>59.388131159999993</v>
      </c>
      <c r="W13" s="29">
        <f>IF(Inputs!C16="","",IF(Inputs!D16="Standard SS (2-in OD)",Inputs!C16,IF(Inputs!D16="Non-Standard (3-in OD)",Inputs!C16*0.44,IF(Inputs!D16="Non-Standard (2.5-in OD)",Inputs!C16*0.64, IF(Inputs!D16="D&amp;M SS (3.25-in OD)",Inputs!C16*0.3786,IF(Inputs!D16="Custom Factor",Inputs!C16*NFACT))))))</f>
        <v>1.1357999999999999</v>
      </c>
      <c r="X13" s="29">
        <f t="shared" ca="1" si="3"/>
        <v>1.4347788880102712</v>
      </c>
      <c r="Y13" s="29">
        <f t="shared" si="4"/>
        <v>1.2833333333333334</v>
      </c>
      <c r="Z13" s="29">
        <f t="shared" si="5"/>
        <v>0.95</v>
      </c>
      <c r="AA13" s="29">
        <f t="shared" si="6"/>
        <v>1</v>
      </c>
      <c r="AB13" s="29">
        <f t="shared" si="7"/>
        <v>1</v>
      </c>
      <c r="AC13" s="29">
        <f t="shared" ca="1" si="8"/>
        <v>1.9867806522050186</v>
      </c>
      <c r="AE13" s="29">
        <f t="shared" ca="1" si="8"/>
        <v>1.9867806522050186</v>
      </c>
      <c r="AH13" s="464">
        <f t="shared" ca="1" si="15"/>
        <v>1.148045346235643</v>
      </c>
      <c r="AI13" s="464">
        <f t="shared" si="16"/>
        <v>1.7560412973596036</v>
      </c>
    </row>
    <row r="14" spans="1:35" x14ac:dyDescent="0.25">
      <c r="A14" s="105">
        <f>IF(Inputs!B17="","",IF(units=2,CONVERT(Inputs!B17,"ft","m"),Inputs!B17))</f>
        <v>6.2484000000000002</v>
      </c>
      <c r="B14" s="35">
        <f t="shared" ca="1" si="9"/>
        <v>20.559288464609821</v>
      </c>
      <c r="C14" s="35">
        <f>IF(Inputs!E17="","",IF(units=2,Inputs!E17*0.1571,Inputs!E17))</f>
        <v>19.527529999999999</v>
      </c>
      <c r="D14" s="10">
        <f>IF(Inputs!F17="","",Inputs!F17)</f>
        <v>10</v>
      </c>
      <c r="E14" s="108">
        <f>IF(Inputs!G17="","",IF(units=2,CONVERT(Inputs!G17,"ft","m"),Inputs!G17))</f>
        <v>2.1335999999999999</v>
      </c>
      <c r="F14" s="92">
        <f t="shared" ca="1" si="10"/>
        <v>21.708473911296679</v>
      </c>
      <c r="G14" s="17">
        <f>IF(A14="","",G13+(SUM(E$10:E13)-A13)*C13+(A14-SUM(E$10:E13))*C14)</f>
        <v>122.01581845199999</v>
      </c>
      <c r="H14" s="17">
        <f t="shared" si="17"/>
        <v>60.737759651999987</v>
      </c>
      <c r="I14" s="18">
        <f t="shared" si="18"/>
        <v>4.437940501368893E-3</v>
      </c>
      <c r="J14" s="18">
        <f t="shared" si="19"/>
        <v>-4.899474666077647E-3</v>
      </c>
      <c r="K14" s="18">
        <f t="shared" si="20"/>
        <v>5.8268908123975824E-2</v>
      </c>
      <c r="L14" s="18">
        <f t="shared" ca="1" si="11"/>
        <v>-5.3055385908838282E-3</v>
      </c>
      <c r="M14" s="18">
        <f t="shared" ca="1" si="0"/>
        <v>4.3142444541667352E-2</v>
      </c>
      <c r="N14" s="18">
        <f t="shared" ca="1" si="12"/>
        <v>9.5644279910050589E-2</v>
      </c>
      <c r="O14" s="227">
        <f>IF(Inputs!H17="",1,Inputs!H17)</f>
        <v>1</v>
      </c>
      <c r="P14" s="126">
        <f ca="1">IF(OR(N14="",Inputs!J17="No",Method_BI=FALSE),NA(),EXP(LN($B$6/100)+N14))</f>
        <v>0.38666916463062412</v>
      </c>
      <c r="Q14" s="44">
        <f t="shared" ca="1" si="1"/>
        <v>0.26042037964772907</v>
      </c>
      <c r="R14" s="19">
        <f ca="1">IF(OR(N14="",Inputs!J17="No",Method_BI=FALSE),NA(),Q14/P14)</f>
        <v>0.67349663088987843</v>
      </c>
      <c r="S14" s="97">
        <v>26.788627624511719</v>
      </c>
      <c r="T14" s="127">
        <f t="shared" ca="1" si="13"/>
        <v>0.9232065591434705</v>
      </c>
      <c r="U14" s="523">
        <f t="shared" si="14"/>
        <v>122.01581845199999</v>
      </c>
      <c r="V14" s="523">
        <f t="shared" si="2"/>
        <v>75.683627651999984</v>
      </c>
      <c r="W14" s="29">
        <f>IF(Inputs!C17="","",IF(Inputs!D17="Standard SS (2-in OD)",Inputs!C17,IF(Inputs!D17="Non-Standard (3-in OD)",Inputs!C17*0.44,IF(Inputs!D17="Non-Standard (2.5-in OD)",Inputs!C17*0.64, IF(Inputs!D17="D&amp;M SS (3.25-in OD)",Inputs!C17*0.3786,IF(Inputs!D17="Custom Factor",Inputs!C17*NFACT))))))</f>
        <v>14.850000000000001</v>
      </c>
      <c r="X14" s="29">
        <f t="shared" ca="1" si="3"/>
        <v>1.1355821213976993</v>
      </c>
      <c r="Y14" s="29">
        <f t="shared" si="4"/>
        <v>1.2833333333333334</v>
      </c>
      <c r="Z14" s="29">
        <f t="shared" si="5"/>
        <v>0.95</v>
      </c>
      <c r="AA14" s="29">
        <f t="shared" si="6"/>
        <v>1</v>
      </c>
      <c r="AB14" s="29">
        <f t="shared" si="7"/>
        <v>1</v>
      </c>
      <c r="AC14" s="29">
        <f t="shared" ca="1" si="8"/>
        <v>20.559288464609821</v>
      </c>
      <c r="AE14" s="29">
        <f t="shared" ca="1" si="8"/>
        <v>20.559288464609821</v>
      </c>
      <c r="AH14" s="464">
        <f t="shared" ca="1" si="15"/>
        <v>1.5649386138145109</v>
      </c>
      <c r="AI14" s="464">
        <f t="shared" si="16"/>
        <v>1.7560412973596036</v>
      </c>
    </row>
    <row r="15" spans="1:35" x14ac:dyDescent="0.25">
      <c r="A15" s="105">
        <f>IF(Inputs!B18="","",IF(units=2,CONVERT(Inputs!B18,"ft","m"),Inputs!B18))</f>
        <v>7.7724000000000002</v>
      </c>
      <c r="B15" s="35">
        <f t="shared" ca="1" si="9"/>
        <v>27.991214213602863</v>
      </c>
      <c r="C15" s="35">
        <f>IF(Inputs!E18="","",IF(units=2,Inputs!E18*0.1571,Inputs!E18))</f>
        <v>19.527529999999999</v>
      </c>
      <c r="D15" s="10">
        <f>IF(Inputs!F18="","",Inputs!F18)</f>
        <v>10</v>
      </c>
      <c r="E15" s="108">
        <f>IF(Inputs!G18="","",IF(units=2,CONVERT(Inputs!G18,"ft","m"),Inputs!G18))</f>
        <v>0.91439999999999999</v>
      </c>
      <c r="F15" s="92">
        <f t="shared" ca="1" si="10"/>
        <v>29.14039966028972</v>
      </c>
      <c r="G15" s="17">
        <f>IF(A15="","",G14+(SUM(E$10:E14)-A14)*C14+(A15-SUM(E$10:E14))*C15)</f>
        <v>151.77577417199998</v>
      </c>
      <c r="H15" s="17">
        <f t="shared" si="17"/>
        <v>75.551847371999983</v>
      </c>
      <c r="I15" s="18">
        <f t="shared" si="18"/>
        <v>4.437940501368893E-3</v>
      </c>
      <c r="J15" s="18">
        <f t="shared" si="19"/>
        <v>-3.5726573997519454E-2</v>
      </c>
      <c r="K15" s="18">
        <f t="shared" si="20"/>
        <v>5.8268908123975824E-2</v>
      </c>
      <c r="L15" s="18">
        <f t="shared" ca="1" si="11"/>
        <v>9.4943521315807595E-3</v>
      </c>
      <c r="M15" s="18">
        <f t="shared" ca="1" si="0"/>
        <v>-4.1071934457502499E-2</v>
      </c>
      <c r="N15" s="18">
        <f t="shared" ca="1" si="12"/>
        <v>-4.5973076980964783E-3</v>
      </c>
      <c r="O15" s="227">
        <f>IF(Inputs!H18="",1,Inputs!H18)</f>
        <v>1</v>
      </c>
      <c r="P15" s="126">
        <f ca="1">IF(OR(N15="",Inputs!J18="No",Method_BI=FALSE),NA(),EXP(LN($B$6/100)+N15))</f>
        <v>0.34978821385211095</v>
      </c>
      <c r="Q15" s="44">
        <f t="shared" ca="1" si="1"/>
        <v>0.49659069667537709</v>
      </c>
      <c r="R15" s="19">
        <f ca="1">IF(OR(N15="",Inputs!J18="No",Method_BI=FALSE),NA(),Q15/P15)</f>
        <v>1.4196896207753118</v>
      </c>
      <c r="S15" s="97">
        <v>25.683929443359375</v>
      </c>
      <c r="T15" s="127">
        <f t="shared" ca="1" si="13"/>
        <v>0.10291413729989128</v>
      </c>
      <c r="U15" s="523">
        <f t="shared" si="14"/>
        <v>151.77577417199998</v>
      </c>
      <c r="V15" s="523">
        <f t="shared" si="2"/>
        <v>90.497715371999988</v>
      </c>
      <c r="W15" s="29">
        <f>IF(Inputs!C18="","",IF(Inputs!D18="Standard SS (2-in OD)",Inputs!C18,IF(Inputs!D18="Non-Standard (3-in OD)",Inputs!C18*0.44,IF(Inputs!D18="Non-Standard (2.5-in OD)",Inputs!C18*0.64, IF(Inputs!D18="D&amp;M SS (3.25-in OD)",Inputs!C18*0.3786,IF(Inputs!D18="Custom Factor",Inputs!C18*NFACT))))))</f>
        <v>22</v>
      </c>
      <c r="X15" s="29">
        <f t="shared" ca="1" si="3"/>
        <v>1.0436045813808312</v>
      </c>
      <c r="Y15" s="29">
        <f t="shared" si="4"/>
        <v>1.2833333333333334</v>
      </c>
      <c r="Z15" s="29">
        <f t="shared" si="5"/>
        <v>0.95</v>
      </c>
      <c r="AA15" s="29">
        <f t="shared" si="6"/>
        <v>1</v>
      </c>
      <c r="AB15" s="29">
        <f t="shared" si="7"/>
        <v>1</v>
      </c>
      <c r="AC15" s="29">
        <f t="shared" ca="1" si="8"/>
        <v>27.991214213602863</v>
      </c>
      <c r="AE15" s="29">
        <f t="shared" ca="1" si="8"/>
        <v>27.991214213602863</v>
      </c>
      <c r="AH15" s="464">
        <f t="shared" ca="1" si="15"/>
        <v>1.9457953059827799</v>
      </c>
      <c r="AI15" s="464">
        <f t="shared" si="16"/>
        <v>1.7560412973596036</v>
      </c>
    </row>
    <row r="16" spans="1:35" x14ac:dyDescent="0.25">
      <c r="A16" s="105">
        <f>IF(Inputs!B19="","",IF(units=2,CONVERT(Inputs!B19,"ft","m"),Inputs!B19))</f>
        <v>9.2964000000000002</v>
      </c>
      <c r="B16" s="35">
        <f t="shared" ca="1" si="9"/>
        <v>20.1884451292024</v>
      </c>
      <c r="C16" s="35">
        <f>IF(Inputs!E19="","",IF(units=2,Inputs!E19*0.1571,Inputs!E19))</f>
        <v>19.527529999999999</v>
      </c>
      <c r="D16" s="10">
        <f>IF(Inputs!F19="","",Inputs!F19)</f>
        <v>10</v>
      </c>
      <c r="E16" s="108">
        <f>IF(Inputs!G19="","",IF(units=2,CONVERT(Inputs!G19,"ft","m"),Inputs!G19))</f>
        <v>2.1335999999999999</v>
      </c>
      <c r="F16" s="92">
        <f t="shared" ca="1" si="10"/>
        <v>21.337630575889257</v>
      </c>
      <c r="G16" s="17">
        <f>IF(A16="","",G15+(SUM(E$10:E15)-A15)*C15+(A16-SUM(E$10:E15))*C16)</f>
        <v>181.53572989199998</v>
      </c>
      <c r="H16" s="17">
        <f t="shared" si="17"/>
        <v>90.365935091999972</v>
      </c>
      <c r="I16" s="18">
        <f t="shared" si="18"/>
        <v>4.437940501368893E-3</v>
      </c>
      <c r="J16" s="18">
        <f t="shared" si="19"/>
        <v>-6.9084466379528447E-2</v>
      </c>
      <c r="K16" s="18">
        <f t="shared" si="20"/>
        <v>5.8268908123975824E-2</v>
      </c>
      <c r="L16" s="18">
        <f t="shared" ca="1" si="11"/>
        <v>4.9125634732985757E-2</v>
      </c>
      <c r="M16" s="18">
        <f t="shared" ca="1" si="0"/>
        <v>4.6860794937381808E-2</v>
      </c>
      <c r="N16" s="18">
        <f t="shared" ca="1" si="12"/>
        <v>8.9608811916183834E-2</v>
      </c>
      <c r="O16" s="227">
        <f>IF(Inputs!H19="",1,Inputs!H19)</f>
        <v>1</v>
      </c>
      <c r="P16" s="126">
        <f ca="1">IF(OR(N16="",Inputs!J19="No",Method_BI=FALSE),NA(),EXP(LN($B$6/100)+N16))</f>
        <v>0.38434246369067387</v>
      </c>
      <c r="Q16" s="44">
        <f t="shared" ca="1" si="1"/>
        <v>0.25433828936835712</v>
      </c>
      <c r="R16" s="19">
        <f ca="1">IF(OR(N16="",Inputs!J19="No",Method_BI=FALSE),NA(),Q16/P16)</f>
        <v>0.66174912583443657</v>
      </c>
      <c r="S16" s="97">
        <v>26.725074768066406</v>
      </c>
      <c r="T16" s="127">
        <f t="shared" ca="1" si="13"/>
        <v>0.93195371453592901</v>
      </c>
      <c r="U16" s="523">
        <f t="shared" si="14"/>
        <v>181.53572989200001</v>
      </c>
      <c r="V16" s="523">
        <f t="shared" si="2"/>
        <v>105.31180309200001</v>
      </c>
      <c r="W16" s="29">
        <f>IF(Inputs!C19="","",IF(Inputs!D19="Standard SS (2-in OD)",Inputs!C19,IF(Inputs!D19="Non-Standard (3-in OD)",Inputs!C19*0.44,IF(Inputs!D19="Non-Standard (2.5-in OD)",Inputs!C19*0.64, IF(Inputs!D19="D&amp;M SS (3.25-in OD)",Inputs!C19*0.3786,IF(Inputs!D19="Custom Factor",Inputs!C19*NFACT))))))</f>
        <v>16</v>
      </c>
      <c r="X16" s="29">
        <f t="shared" ca="1" si="3"/>
        <v>0.98320349655206485</v>
      </c>
      <c r="Y16" s="29">
        <f t="shared" si="4"/>
        <v>1.2833333333333334</v>
      </c>
      <c r="Z16" s="29">
        <f t="shared" si="5"/>
        <v>1</v>
      </c>
      <c r="AA16" s="29">
        <f t="shared" si="6"/>
        <v>1</v>
      </c>
      <c r="AB16" s="29">
        <f t="shared" si="7"/>
        <v>1</v>
      </c>
      <c r="AC16" s="29">
        <f t="shared" ca="1" si="8"/>
        <v>20.1884451292024</v>
      </c>
      <c r="AE16" s="29">
        <f t="shared" ca="1" si="8"/>
        <v>20.1884451292024</v>
      </c>
      <c r="AH16" s="464">
        <f t="shared" ca="1" si="15"/>
        <v>1.5488505705146125</v>
      </c>
      <c r="AI16" s="464">
        <f t="shared" si="16"/>
        <v>1.7560412973596036</v>
      </c>
    </row>
    <row r="17" spans="1:35" x14ac:dyDescent="0.25">
      <c r="A17" s="105">
        <f>IF(Inputs!B20="","",IF(units=2,CONVERT(Inputs!B20,"ft","m"),Inputs!B20))</f>
        <v>10.820399999999999</v>
      </c>
      <c r="B17" s="35">
        <f t="shared" ca="1" si="9"/>
        <v>8.3384535645198135</v>
      </c>
      <c r="C17" s="35">
        <f>IF(Inputs!E20="","",IF(units=2,Inputs!E20*0.1571,Inputs!E20))</f>
        <v>19.527529999999999</v>
      </c>
      <c r="D17" s="10">
        <f>IF(Inputs!F20="","",Inputs!F20)</f>
        <v>10</v>
      </c>
      <c r="E17" s="108">
        <f>IF(Inputs!G20="","",IF(units=2,CONVERT(Inputs!G20,"ft","m"),Inputs!G20))</f>
        <v>0.91439999999999999</v>
      </c>
      <c r="F17" s="92">
        <f t="shared" ca="1" si="10"/>
        <v>9.4876390112066709</v>
      </c>
      <c r="G17" s="17">
        <f>IF(A17="","",G16+(SUM(E$10:E16)-A16)*C16+(A17-SUM(E$10:E16))*C17)</f>
        <v>211.29568561199994</v>
      </c>
      <c r="H17" s="17">
        <f t="shared" si="17"/>
        <v>105.18002281199995</v>
      </c>
      <c r="I17" s="18">
        <f t="shared" si="18"/>
        <v>4.4379405013691142E-3</v>
      </c>
      <c r="J17" s="18">
        <f t="shared" si="19"/>
        <v>-0.10454778640876689</v>
      </c>
      <c r="K17" s="18">
        <f t="shared" si="20"/>
        <v>5.8268908123975824E-2</v>
      </c>
      <c r="L17" s="18">
        <f t="shared" ca="1" si="11"/>
        <v>6.8447125165137457E-2</v>
      </c>
      <c r="M17" s="18">
        <f t="shared" ca="1" si="0"/>
        <v>0.13595758709669648</v>
      </c>
      <c r="N17" s="18">
        <f t="shared" ca="1" si="12"/>
        <v>0.16256377447841197</v>
      </c>
      <c r="O17" s="227">
        <f>IF(Inputs!H20="",1,Inputs!H20)</f>
        <v>1</v>
      </c>
      <c r="P17" s="126">
        <f ca="1">IF(OR(N17="",Inputs!J20="No",Method_BI=FALSE),NA(),EXP(LN($B$6/100)+N17))</f>
        <v>0.41343030456417246</v>
      </c>
      <c r="Q17" s="44">
        <f t="shared" ca="1" si="1"/>
        <v>0.1304252794205025</v>
      </c>
      <c r="R17" s="19">
        <f ca="1">IF(OR(N17="",Inputs!J20="No",Method_BI=FALSE),NA(),Q17/P17)</f>
        <v>0.31547101888912921</v>
      </c>
      <c r="S17" s="97">
        <v>27.469764709472656</v>
      </c>
      <c r="T17" s="127">
        <f t="shared" ca="1" si="13"/>
        <v>0.99998442829659551</v>
      </c>
      <c r="U17" s="523">
        <f t="shared" si="14"/>
        <v>211.29568561199997</v>
      </c>
      <c r="V17" s="523">
        <f t="shared" si="2"/>
        <v>120.12589081199998</v>
      </c>
      <c r="W17" s="29">
        <f>IF(Inputs!C20="","",IF(Inputs!D20="Standard SS (2-in OD)",Inputs!C20,IF(Inputs!D20="Non-Standard (3-in OD)",Inputs!C20*0.44,IF(Inputs!D20="Non-Standard (2.5-in OD)",Inputs!C20*0.64, IF(Inputs!D20="D&amp;M SS (3.25-in OD)",Inputs!C20*0.3786,IF(Inputs!D20="Custom Factor",Inputs!C20*NFACT))))))</f>
        <v>7.15</v>
      </c>
      <c r="X17" s="29">
        <f t="shared" ca="1" si="3"/>
        <v>0.90874073902677099</v>
      </c>
      <c r="Y17" s="29">
        <f t="shared" si="4"/>
        <v>1.2833333333333334</v>
      </c>
      <c r="Z17" s="29">
        <f t="shared" si="5"/>
        <v>1</v>
      </c>
      <c r="AA17" s="29">
        <f t="shared" si="6"/>
        <v>1</v>
      </c>
      <c r="AB17" s="29">
        <f t="shared" si="7"/>
        <v>1</v>
      </c>
      <c r="AC17" s="29">
        <f t="shared" ca="1" si="8"/>
        <v>8.3384535645198135</v>
      </c>
      <c r="AE17" s="29">
        <f t="shared" ca="1" si="8"/>
        <v>8.3384535645198135</v>
      </c>
      <c r="AH17" s="464">
        <f t="shared" ca="1" si="15"/>
        <v>1.1807183613071008</v>
      </c>
      <c r="AI17" s="464">
        <f t="shared" si="16"/>
        <v>1.7560412973596036</v>
      </c>
    </row>
    <row r="18" spans="1:35" x14ac:dyDescent="0.25">
      <c r="A18" s="105">
        <f>IF(Inputs!B21="","",IF(units=2,CONVERT(Inputs!B21,"ft","m"),Inputs!B21))</f>
        <v>12.4968</v>
      </c>
      <c r="B18" s="35">
        <f t="shared" ca="1" si="9"/>
        <v>1.7282171422467403</v>
      </c>
      <c r="C18" s="35">
        <f>IF(Inputs!E21="","",IF(units=2,Inputs!E21*0.1571,Inputs!E21))</f>
        <v>19.527529999999999</v>
      </c>
      <c r="D18" s="10">
        <f>IF(Inputs!F21="","",Inputs!F21)</f>
        <v>70</v>
      </c>
      <c r="E18" s="108">
        <f>IF(Inputs!G21="","",IF(units=2,CONVERT(Inputs!G21,"ft","m"),Inputs!G21))</f>
        <v>2.4384000000000001</v>
      </c>
      <c r="F18" s="92">
        <f t="shared" ca="1" si="10"/>
        <v>7.3030476983682764</v>
      </c>
      <c r="G18" s="17">
        <f>IF(A18="","",G17+(SUM(E$10:E17)-A17)*C17+(A18-SUM(E$10:E17))*C18)</f>
        <v>244.03163690399998</v>
      </c>
      <c r="H18" s="17">
        <f t="shared" si="17"/>
        <v>121.47551930399997</v>
      </c>
      <c r="I18" s="18">
        <f t="shared" si="18"/>
        <v>4.437940501368893E-3</v>
      </c>
      <c r="J18" s="18">
        <f t="shared" si="19"/>
        <v>-0.14544584570084784</v>
      </c>
      <c r="K18" s="18">
        <f t="shared" si="20"/>
        <v>5.8268908123975824E-2</v>
      </c>
      <c r="L18" s="18">
        <f t="shared" ca="1" si="11"/>
        <v>8.0278321503067462E-2</v>
      </c>
      <c r="M18" s="18">
        <f t="shared" ca="1" si="0"/>
        <v>0.14535928990064534</v>
      </c>
      <c r="N18" s="18">
        <f t="shared" ca="1" si="12"/>
        <v>0.14289861432820966</v>
      </c>
      <c r="O18" s="227">
        <f>IF(Inputs!H21="",1,Inputs!H21)</f>
        <v>1</v>
      </c>
      <c r="P18" s="126" t="e">
        <f ca="1">IF(OR(N18="",Inputs!J21="No",Method_BI=FALSE),NA(),EXP(LN($B$6/100)+N18))</f>
        <v>#N/A</v>
      </c>
      <c r="Q18" s="44">
        <f t="shared" ca="1" si="1"/>
        <v>0.11400729285551024</v>
      </c>
      <c r="R18" s="19" t="e">
        <f ca="1">IF(OR(N18="",Inputs!J21="No",Method_BI=FALSE),NA(),Q18/P18)</f>
        <v>#N/A</v>
      </c>
      <c r="S18" s="97" t="e">
        <v>#N/A</v>
      </c>
      <c r="T18" s="127" t="e">
        <f t="shared" ca="1" si="13"/>
        <v>#N/A</v>
      </c>
      <c r="U18" s="523">
        <f t="shared" si="14"/>
        <v>244.03163690399998</v>
      </c>
      <c r="V18" s="523">
        <f t="shared" si="2"/>
        <v>136.42138730399998</v>
      </c>
      <c r="W18" s="29">
        <f>IF(Inputs!C21="","",IF(Inputs!D21="Standard SS (2-in OD)",Inputs!C21,IF(Inputs!D21="Non-Standard (3-in OD)",Inputs!C21*0.44,IF(Inputs!D21="Non-Standard (2.5-in OD)",Inputs!C21*0.64, IF(Inputs!D21="D&amp;M SS (3.25-in OD)",Inputs!C21*0.3786,IF(Inputs!D21="Custom Factor",Inputs!C21*NFACT))))))</f>
        <v>1.6500000000000001</v>
      </c>
      <c r="X18" s="29">
        <f t="shared" ca="1" si="3"/>
        <v>0.81615921711770478</v>
      </c>
      <c r="Y18" s="29">
        <f t="shared" si="4"/>
        <v>1.2833333333333334</v>
      </c>
      <c r="Z18" s="29">
        <f t="shared" si="5"/>
        <v>1</v>
      </c>
      <c r="AA18" s="29">
        <f t="shared" si="6"/>
        <v>1</v>
      </c>
      <c r="AB18" s="29">
        <f t="shared" si="7"/>
        <v>1</v>
      </c>
      <c r="AC18" s="29">
        <f t="shared" ca="1" si="8"/>
        <v>1.7282171422467403</v>
      </c>
      <c r="AE18" s="29">
        <f t="shared" ca="1" si="8"/>
        <v>1.7282171422467403</v>
      </c>
      <c r="AH18" s="464">
        <f t="shared" ca="1" si="15"/>
        <v>1.1437510765277321</v>
      </c>
      <c r="AI18" s="464">
        <f t="shared" si="16"/>
        <v>1.7560412973596036</v>
      </c>
    </row>
    <row r="19" spans="1:35" x14ac:dyDescent="0.25">
      <c r="A19" s="105">
        <f>IF(Inputs!B22="","",IF(units=2,CONVERT(Inputs!B22,"ft","m"),Inputs!B22))</f>
        <v>13.715999999999999</v>
      </c>
      <c r="B19" s="35">
        <f t="shared" ca="1" si="9"/>
        <v>1.6308342079976466</v>
      </c>
      <c r="C19" s="35">
        <f>IF(Inputs!E22="","",IF(units=2,Inputs!E22*0.1571,Inputs!E22))</f>
        <v>19.527529999999999</v>
      </c>
      <c r="D19" s="10">
        <f>IF(Inputs!F22="","",Inputs!F22)</f>
        <v>5</v>
      </c>
      <c r="E19" s="108">
        <f>IF(Inputs!G22="","",IF(units=2,CONVERT(Inputs!G22,"ft","m"),Inputs!G22))</f>
        <v>0.91439999999999999</v>
      </c>
      <c r="F19" s="92">
        <f t="shared" ca="1" si="10"/>
        <v>1.6327566637818389</v>
      </c>
      <c r="G19" s="17">
        <f>IF(A19="","",G18+(SUM(E$10:E18)-A18)*C18+(A19-SUM(E$10:E18))*C19)</f>
        <v>267.83960147999994</v>
      </c>
      <c r="H19" s="17">
        <f t="shared" si="17"/>
        <v>133.32678947999995</v>
      </c>
      <c r="I19" s="18">
        <f t="shared" si="18"/>
        <v>4.437940501368893E-3</v>
      </c>
      <c r="J19" s="18">
        <f t="shared" si="19"/>
        <v>-0.17608065919922811</v>
      </c>
      <c r="K19" s="18">
        <f t="shared" si="20"/>
        <v>5.8268908123975824E-2</v>
      </c>
      <c r="L19" s="18">
        <f t="shared" ca="1" si="11"/>
        <v>8.2757643493507713E-2</v>
      </c>
      <c r="M19" s="18">
        <f t="shared" ca="1" si="0"/>
        <v>0.15849334748747554</v>
      </c>
      <c r="N19" s="18">
        <f t="shared" ca="1" si="12"/>
        <v>0.12787718040709986</v>
      </c>
      <c r="O19" s="227">
        <f>IF(Inputs!H22="",1,Inputs!H22)</f>
        <v>1</v>
      </c>
      <c r="P19" s="126">
        <f ca="1">IF(OR(N19="",Inputs!J22="No",Method_BI=FALSE),NA(),EXP(LN($B$6/100)+N19))</f>
        <v>0.3993356758905604</v>
      </c>
      <c r="Q19" s="44">
        <f t="shared" ca="1" si="1"/>
        <v>7.774291842473656E-2</v>
      </c>
      <c r="R19" s="19">
        <f ca="1">IF(OR(N19="",Inputs!J22="No",Method_BI=FALSE),NA(),Q19/P19)</f>
        <v>0.19468062364165611</v>
      </c>
      <c r="S19" s="97">
        <v>27.121719360351563</v>
      </c>
      <c r="T19" s="127">
        <f t="shared" ca="1" si="13"/>
        <v>0.9999999982639699</v>
      </c>
      <c r="U19" s="523">
        <f t="shared" si="14"/>
        <v>267.83960147999994</v>
      </c>
      <c r="V19" s="523">
        <f t="shared" si="2"/>
        <v>148.27265747999994</v>
      </c>
      <c r="W19" s="29">
        <f>IF(Inputs!C22="","",IF(Inputs!D22="Standard SS (2-in OD)",Inputs!C22,IF(Inputs!D22="Non-Standard (3-in OD)",Inputs!C22*0.44,IF(Inputs!D22="Non-Standard (2.5-in OD)",Inputs!C22*0.64, IF(Inputs!D22="D&amp;M SS (3.25-in OD)",Inputs!C22*0.3786,IF(Inputs!D22="Custom Factor",Inputs!C22*NFACT))))))</f>
        <v>1.6500000000000001</v>
      </c>
      <c r="X19" s="29">
        <f t="shared" ca="1" si="3"/>
        <v>0.77016963777928993</v>
      </c>
      <c r="Y19" s="29">
        <f t="shared" si="4"/>
        <v>1.2833333333333334</v>
      </c>
      <c r="Z19" s="29">
        <f t="shared" si="5"/>
        <v>1</v>
      </c>
      <c r="AA19" s="29">
        <f t="shared" si="6"/>
        <v>1</v>
      </c>
      <c r="AB19" s="29">
        <f t="shared" si="7"/>
        <v>1</v>
      </c>
      <c r="AC19" s="29">
        <f t="shared" ca="1" si="8"/>
        <v>1.6308342079976466</v>
      </c>
      <c r="AE19" s="29">
        <f t="shared" ca="1" si="8"/>
        <v>1.6308342079976466</v>
      </c>
      <c r="AH19" s="464">
        <f t="shared" ca="1" si="15"/>
        <v>1.0926867163750307</v>
      </c>
      <c r="AI19" s="464">
        <f t="shared" si="16"/>
        <v>1.7560412973596036</v>
      </c>
    </row>
    <row r="20" spans="1:35" x14ac:dyDescent="0.25">
      <c r="A20" s="105">
        <f>IF(Inputs!B23="","",IF(units=2,CONVERT(Inputs!B23,"ft","m"),Inputs!B23))</f>
        <v>15.6972</v>
      </c>
      <c r="B20" s="35">
        <f t="shared" ca="1" si="9"/>
        <v>9.6579991118717725</v>
      </c>
      <c r="C20" s="35">
        <f>IF(Inputs!E23="","",IF(units=2,Inputs!E23*0.1571,Inputs!E23))</f>
        <v>19.527529999999999</v>
      </c>
      <c r="D20" s="10">
        <f>IF(Inputs!F23="","",Inputs!F23)</f>
        <v>5</v>
      </c>
      <c r="E20" s="108">
        <f>IF(Inputs!G23="","",IF(units=2,CONVERT(Inputs!G23,"ft","m"),Inputs!G23))</f>
        <v>2.1335999999999999</v>
      </c>
      <c r="F20" s="92">
        <f t="shared" ca="1" si="10"/>
        <v>9.6599215676559655</v>
      </c>
      <c r="G20" s="17">
        <f>IF(A20="","",G19+(SUM(E$10:E19)-A19)*C19+(A20-SUM(E$10:E19))*C20)</f>
        <v>306.52754391599996</v>
      </c>
      <c r="H20" s="17">
        <f t="shared" si="17"/>
        <v>152.58510351599995</v>
      </c>
      <c r="I20" s="18">
        <f t="shared" si="18"/>
        <v>4.437940501368893E-3</v>
      </c>
      <c r="J20" s="18">
        <f t="shared" si="19"/>
        <v>-0.22673642204297573</v>
      </c>
      <c r="K20" s="18">
        <f t="shared" si="20"/>
        <v>5.8268908123975824E-2</v>
      </c>
      <c r="L20" s="18">
        <f t="shared" ca="1" si="11"/>
        <v>0.1030790457705245</v>
      </c>
      <c r="M20" s="18">
        <f t="shared" ca="1" si="0"/>
        <v>0.13511638569831622</v>
      </c>
      <c r="N20" s="18">
        <f t="shared" ca="1" si="12"/>
        <v>7.416585805120969E-2</v>
      </c>
      <c r="O20" s="227">
        <f>IF(Inputs!H23="",1,Inputs!H23)</f>
        <v>1</v>
      </c>
      <c r="P20" s="126">
        <f ca="1">IF(OR(N20="",Inputs!J23="No",Method_BI=FALSE),NA(),EXP(LN($B$6/100)+N20))</f>
        <v>0.37845267566951402</v>
      </c>
      <c r="Q20" s="44">
        <f t="shared" ca="1" si="1"/>
        <v>0.13177233281099929</v>
      </c>
      <c r="R20" s="19">
        <f ca="1">IF(OR(N20="",Inputs!J23="No",Method_BI=FALSE),NA(),Q20/P20)</f>
        <v>0.34818708198556969</v>
      </c>
      <c r="S20" s="97">
        <v>26.560958862304688</v>
      </c>
      <c r="T20" s="127">
        <f t="shared" ca="1" si="13"/>
        <v>0.99993015589541978</v>
      </c>
      <c r="U20" s="523">
        <f t="shared" si="14"/>
        <v>306.52754391600001</v>
      </c>
      <c r="V20" s="523">
        <f t="shared" si="2"/>
        <v>167.53097151599999</v>
      </c>
      <c r="W20" s="29">
        <f>IF(Inputs!C23="","",IF(Inputs!D23="Standard SS (2-in OD)",Inputs!C23,IF(Inputs!D23="Non-Standard (3-in OD)",Inputs!C23*0.44,IF(Inputs!D23="Non-Standard (2.5-in OD)",Inputs!C23*0.64, IF(Inputs!D23="D&amp;M SS (3.25-in OD)",Inputs!C23*0.3786,IF(Inputs!D23="Custom Factor",Inputs!C23*NFACT))))))</f>
        <v>9.9</v>
      </c>
      <c r="X20" s="29">
        <f t="shared" ca="1" si="3"/>
        <v>0.76017309026932478</v>
      </c>
      <c r="Y20" s="29">
        <f t="shared" si="4"/>
        <v>1.2833333333333334</v>
      </c>
      <c r="Z20" s="29">
        <f t="shared" si="5"/>
        <v>1</v>
      </c>
      <c r="AA20" s="29">
        <f t="shared" si="6"/>
        <v>1</v>
      </c>
      <c r="AB20" s="29">
        <f t="shared" si="7"/>
        <v>1</v>
      </c>
      <c r="AC20" s="29">
        <f t="shared" ca="1" si="8"/>
        <v>9.6579991118717725</v>
      </c>
      <c r="AE20" s="29">
        <f t="shared" ca="1" si="8"/>
        <v>9.6579991118717725</v>
      </c>
      <c r="AH20" s="464">
        <f t="shared" ca="1" si="15"/>
        <v>1.1840429173023583</v>
      </c>
      <c r="AI20" s="464">
        <f t="shared" si="16"/>
        <v>1.7560412973596036</v>
      </c>
    </row>
    <row r="21" spans="1:35" x14ac:dyDescent="0.25">
      <c r="A21" s="105">
        <f>IF(Inputs!B24="","",IF(units=2,CONVERT(Inputs!B24,"ft","m"),Inputs!B24))</f>
        <v>17.3736</v>
      </c>
      <c r="B21" s="35">
        <f t="shared" ca="1" si="9"/>
        <v>2.3739365564012611</v>
      </c>
      <c r="C21" s="35">
        <f>IF(Inputs!E24="","",IF(units=2,Inputs!E24*0.1571,Inputs!E24))</f>
        <v>19.527529999999999</v>
      </c>
      <c r="D21" s="10">
        <f>IF(Inputs!F24="","",Inputs!F24)</f>
        <v>5</v>
      </c>
      <c r="E21" s="108">
        <f>IF(Inputs!G24="","",IF(units=2,CONVERT(Inputs!G24,"ft","m"),Inputs!G24))</f>
        <v>1.2192000000000001</v>
      </c>
      <c r="F21" s="92">
        <f t="shared" ca="1" si="10"/>
        <v>2.3758590121854533</v>
      </c>
      <c r="G21" s="17">
        <f>IF(A21="","",G20+(SUM(E$10:E20)-A20)*C20+(A21-SUM(E$10:E20))*C21)</f>
        <v>339.26349520799994</v>
      </c>
      <c r="H21" s="17">
        <f t="shared" si="17"/>
        <v>168.88060000799993</v>
      </c>
      <c r="I21" s="18">
        <f t="shared" si="18"/>
        <v>4.4379405013691142E-3</v>
      </c>
      <c r="J21" s="18">
        <f t="shared" si="19"/>
        <v>-0.26972363572947755</v>
      </c>
      <c r="K21" s="18">
        <f t="shared" si="20"/>
        <v>5.8268908123975824E-2</v>
      </c>
      <c r="L21" s="18">
        <f t="shared" ca="1" si="11"/>
        <v>9.9778074875119818E-2</v>
      </c>
      <c r="M21" s="18">
        <f t="shared" ca="1" si="0"/>
        <v>0.15771640406878201</v>
      </c>
      <c r="N21" s="18">
        <f t="shared" ca="1" si="12"/>
        <v>5.0477691839769259E-2</v>
      </c>
      <c r="O21" s="227">
        <f>IF(Inputs!H24="",1,Inputs!H24)</f>
        <v>1</v>
      </c>
      <c r="P21" s="126">
        <f ca="1">IF(OR(N21="",Inputs!J24="No",Method_BI=FALSE),NA(),EXP(LN($B$6/100)+N21))</f>
        <v>0.36959317274726489</v>
      </c>
      <c r="Q21" s="44">
        <f t="shared" ca="1" si="1"/>
        <v>8.1913820303973858E-2</v>
      </c>
      <c r="R21" s="19">
        <f ca="1">IF(OR(N21="",Inputs!J24="No",Method_BI=FALSE),NA(),Q21/P21)</f>
        <v>0.22163239568277454</v>
      </c>
      <c r="S21" s="97">
        <v>26.304130554199219</v>
      </c>
      <c r="T21" s="127">
        <f t="shared" ca="1" si="13"/>
        <v>0.99999997328140511</v>
      </c>
      <c r="U21" s="523">
        <f t="shared" si="14"/>
        <v>339.26349520799999</v>
      </c>
      <c r="V21" s="523">
        <f t="shared" si="2"/>
        <v>183.82646800800001</v>
      </c>
      <c r="W21" s="29">
        <f>IF(Inputs!C24="","",IF(Inputs!D24="Standard SS (2-in OD)",Inputs!C24,IF(Inputs!D24="Non-Standard (3-in OD)",Inputs!C24*0.44,IF(Inputs!D24="Non-Standard (2.5-in OD)",Inputs!C24*0.64, IF(Inputs!D24="D&amp;M SS (3.25-in OD)",Inputs!C24*0.3786,IF(Inputs!D24="Custom Factor",Inputs!C24*NFACT))))))</f>
        <v>2.75</v>
      </c>
      <c r="X21" s="29">
        <f t="shared" ca="1" si="3"/>
        <v>0.67266207029079417</v>
      </c>
      <c r="Y21" s="29">
        <f t="shared" si="4"/>
        <v>1.2833333333333334</v>
      </c>
      <c r="Z21" s="29">
        <f t="shared" si="5"/>
        <v>1</v>
      </c>
      <c r="AA21" s="29">
        <f t="shared" si="6"/>
        <v>1</v>
      </c>
      <c r="AB21" s="29">
        <f t="shared" si="7"/>
        <v>1</v>
      </c>
      <c r="AC21" s="29">
        <f t="shared" ca="1" si="8"/>
        <v>2.3739365564012611</v>
      </c>
      <c r="AE21" s="29">
        <f t="shared" ca="1" si="8"/>
        <v>2.3739365564012611</v>
      </c>
      <c r="AH21" s="464">
        <f t="shared" ca="1" si="15"/>
        <v>1.0956887942008395</v>
      </c>
      <c r="AI21" s="464">
        <f t="shared" si="16"/>
        <v>1.7560412973596036</v>
      </c>
    </row>
    <row r="22" spans="1:35" x14ac:dyDescent="0.25">
      <c r="A22" s="105" t="str">
        <f>IF(Inputs!B25="","",IF(units=2,CONVERT(Inputs!B25,"ft","m"),Inputs!B25))</f>
        <v/>
      </c>
      <c r="B22" s="35" t="str">
        <f t="shared" si="9"/>
        <v/>
      </c>
      <c r="C22" s="35" t="str">
        <f>IF(Inputs!E25="","",IF(units=2,Inputs!E25*0.1571,Inputs!E25))</f>
        <v/>
      </c>
      <c r="D22" s="10" t="str">
        <f>IF(Inputs!F25="","",Inputs!F25)</f>
        <v/>
      </c>
      <c r="E22" s="108" t="str">
        <f>IF(Inputs!G25="","",IF(units=2,CONVERT(Inputs!G25,"ft","m"),Inputs!G25))</f>
        <v/>
      </c>
      <c r="F22" s="92" t="e">
        <f t="shared" si="10"/>
        <v>#N/A</v>
      </c>
      <c r="G22" s="17" t="str">
        <f>IF(A22="","",G21+(SUM(E$10:E21)-A21)*C21+(A22-SUM(E$10:E21))*C22)</f>
        <v/>
      </c>
      <c r="H22" s="17" t="str">
        <f t="shared" si="17"/>
        <v/>
      </c>
      <c r="I22" s="18" t="str">
        <f t="shared" si="18"/>
        <v/>
      </c>
      <c r="J22" s="18" t="str">
        <f t="shared" si="19"/>
        <v/>
      </c>
      <c r="K22" s="18" t="str">
        <f t="shared" si="20"/>
        <v/>
      </c>
      <c r="L22" s="18" t="str">
        <f t="shared" si="11"/>
        <v/>
      </c>
      <c r="M22" s="18" t="str">
        <f t="shared" si="0"/>
        <v/>
      </c>
      <c r="N22" s="18" t="str">
        <f t="shared" si="12"/>
        <v/>
      </c>
      <c r="O22" s="227">
        <f>IF(Inputs!H25="",1,Inputs!H25)</f>
        <v>1</v>
      </c>
      <c r="P22" s="126" t="e">
        <f>IF(OR(N22="",Inputs!J25="No",Method_BI=FALSE),NA(),EXP(LN($B$6/100)+N22))</f>
        <v>#N/A</v>
      </c>
      <c r="Q22" s="44" t="e">
        <f t="shared" si="1"/>
        <v>#N/A</v>
      </c>
      <c r="R22" s="19" t="e">
        <f>IF(OR(N22="",Inputs!J25="No",Method_BI=FALSE),NA(),Q22/P22)</f>
        <v>#N/A</v>
      </c>
      <c r="S22" s="97" t="e">
        <v>#N/A</v>
      </c>
      <c r="T22" s="127" t="e">
        <f t="shared" si="13"/>
        <v>#N/A</v>
      </c>
      <c r="U22" s="81" t="str">
        <f t="shared" si="14"/>
        <v/>
      </c>
      <c r="V22" s="523" t="str">
        <f t="shared" si="2"/>
        <v/>
      </c>
      <c r="W22" s="29" t="str">
        <f>IF(Inputs!C25="","",IF(Inputs!D25="Standard SS (2-in OD)",Inputs!C25,IF(Inputs!D25="Non-Standard (3-in OD)",Inputs!C25*0.44,IF(Inputs!D25="Non-Standard (2.5-in OD)",Inputs!C25*0.64, IF(Inputs!D25="D&amp;M SS (3.25-in OD)",Inputs!C25*0.3786,IF(Inputs!D25="Custom Factor",Inputs!C25*NFACT))))))</f>
        <v/>
      </c>
      <c r="X22" s="29" t="str">
        <f t="shared" si="3"/>
        <v/>
      </c>
      <c r="Y22" s="29" t="str">
        <f t="shared" si="4"/>
        <v/>
      </c>
      <c r="Z22" s="29" t="str">
        <f t="shared" si="5"/>
        <v/>
      </c>
      <c r="AA22" s="29" t="str">
        <f t="shared" si="6"/>
        <v/>
      </c>
      <c r="AB22" s="29" t="str">
        <f t="shared" si="7"/>
        <v/>
      </c>
      <c r="AC22" s="29" t="str">
        <f t="shared" si="8"/>
        <v/>
      </c>
      <c r="AE22" s="29" t="str">
        <f t="shared" si="8"/>
        <v/>
      </c>
      <c r="AH22" s="464" t="e">
        <f t="shared" si="15"/>
        <v>#N/A</v>
      </c>
      <c r="AI22" s="464">
        <f t="shared" si="16"/>
        <v>1.7560412973596036</v>
      </c>
    </row>
    <row r="23" spans="1:35" x14ac:dyDescent="0.25">
      <c r="A23" s="105" t="str">
        <f>IF(Inputs!B26="","",IF(units=2,CONVERT(Inputs!B26,"ft","m"),Inputs!B26))</f>
        <v/>
      </c>
      <c r="B23" s="35" t="str">
        <f t="shared" si="9"/>
        <v/>
      </c>
      <c r="C23" s="35" t="str">
        <f>IF(Inputs!E26="","",IF(units=2,Inputs!E26*0.1571,Inputs!E26))</f>
        <v/>
      </c>
      <c r="D23" s="10" t="str">
        <f>IF(Inputs!F26="","",Inputs!F26)</f>
        <v/>
      </c>
      <c r="E23" s="108" t="str">
        <f>IF(Inputs!G26="","",IF(units=2,CONVERT(Inputs!G26,"ft","m"),Inputs!G26))</f>
        <v/>
      </c>
      <c r="F23" s="92" t="e">
        <f t="shared" si="10"/>
        <v>#N/A</v>
      </c>
      <c r="G23" s="17" t="str">
        <f>IF(A23="","",G22+(SUM(E$10:E22)-A22)*C22+(A23-SUM(E$10:E22))*C23)</f>
        <v/>
      </c>
      <c r="H23" s="17" t="str">
        <f t="shared" si="17"/>
        <v/>
      </c>
      <c r="I23" s="18" t="str">
        <f t="shared" si="18"/>
        <v/>
      </c>
      <c r="J23" s="18" t="str">
        <f t="shared" si="19"/>
        <v/>
      </c>
      <c r="K23" s="18" t="str">
        <f t="shared" si="20"/>
        <v/>
      </c>
      <c r="L23" s="18" t="str">
        <f t="shared" si="11"/>
        <v/>
      </c>
      <c r="M23" s="18" t="str">
        <f t="shared" si="0"/>
        <v/>
      </c>
      <c r="N23" s="18" t="str">
        <f t="shared" si="12"/>
        <v/>
      </c>
      <c r="O23" s="227">
        <f>IF(Inputs!H26="",1,Inputs!H26)</f>
        <v>1</v>
      </c>
      <c r="P23" s="126" t="e">
        <f>IF(OR(N23="",Inputs!J26="No",Method_BI=FALSE),NA(),EXP(LN($B$6/100)+N23))</f>
        <v>#N/A</v>
      </c>
      <c r="Q23" s="44" t="e">
        <f t="shared" si="1"/>
        <v>#N/A</v>
      </c>
      <c r="R23" s="19" t="e">
        <f>IF(OR(N23="",Inputs!J26="No",Method_BI=FALSE),NA(),Q23/P23)</f>
        <v>#N/A</v>
      </c>
      <c r="S23" s="97" t="e">
        <v>#N/A</v>
      </c>
      <c r="T23" s="127" t="e">
        <f t="shared" si="13"/>
        <v>#N/A</v>
      </c>
      <c r="U23" s="81" t="str">
        <f t="shared" si="14"/>
        <v/>
      </c>
      <c r="V23" s="523" t="str">
        <f t="shared" si="2"/>
        <v/>
      </c>
      <c r="W23" s="29" t="str">
        <f>IF(Inputs!C26="","",IF(Inputs!D26="Standard SS (2-in OD)",Inputs!C26,IF(Inputs!D26="Non-Standard (3-in OD)",Inputs!C26*0.44,IF(Inputs!D26="Non-Standard (2.5-in OD)",Inputs!C26*0.64, IF(Inputs!D26="D&amp;M SS (3.25-in OD)",Inputs!C26*0.3786,IF(Inputs!D26="Custom Factor",Inputs!C26*NFACT))))))</f>
        <v/>
      </c>
      <c r="X23" s="29" t="str">
        <f t="shared" si="3"/>
        <v/>
      </c>
      <c r="Y23" s="29" t="str">
        <f t="shared" si="4"/>
        <v/>
      </c>
      <c r="Z23" s="29" t="str">
        <f t="shared" si="5"/>
        <v/>
      </c>
      <c r="AA23" s="29" t="str">
        <f t="shared" si="6"/>
        <v/>
      </c>
      <c r="AB23" s="29" t="str">
        <f t="shared" si="7"/>
        <v/>
      </c>
      <c r="AC23" s="29" t="str">
        <f t="shared" si="8"/>
        <v/>
      </c>
      <c r="AE23" s="29" t="str">
        <f t="shared" si="8"/>
        <v/>
      </c>
      <c r="AH23" s="464" t="e">
        <f t="shared" si="15"/>
        <v>#N/A</v>
      </c>
      <c r="AI23" s="464">
        <f t="shared" si="16"/>
        <v>1.7560412973596036</v>
      </c>
    </row>
    <row r="24" spans="1:35" x14ac:dyDescent="0.25">
      <c r="A24" s="105" t="str">
        <f>IF(Inputs!B27="","",IF(units=2,CONVERT(Inputs!B27,"ft","m"),Inputs!B27))</f>
        <v/>
      </c>
      <c r="B24" s="35" t="str">
        <f t="shared" si="9"/>
        <v/>
      </c>
      <c r="C24" s="35" t="str">
        <f>IF(Inputs!E27="","",IF(units=2,Inputs!E27*0.1571,Inputs!E27))</f>
        <v/>
      </c>
      <c r="D24" s="10" t="str">
        <f>IF(Inputs!F27="","",Inputs!F27)</f>
        <v/>
      </c>
      <c r="E24" s="108" t="str">
        <f>IF(Inputs!G27="","",IF(units=2,CONVERT(Inputs!G27,"ft","m"),Inputs!G27))</f>
        <v/>
      </c>
      <c r="F24" s="92" t="e">
        <f t="shared" si="10"/>
        <v>#N/A</v>
      </c>
      <c r="G24" s="17" t="str">
        <f>IF(A24="","",G23+(SUM(E$10:E23)-A23)*C23+(A24-SUM(E$10:E23))*C24)</f>
        <v/>
      </c>
      <c r="H24" s="17" t="str">
        <f t="shared" si="17"/>
        <v/>
      </c>
      <c r="I24" s="18" t="str">
        <f t="shared" si="18"/>
        <v/>
      </c>
      <c r="J24" s="18" t="str">
        <f t="shared" si="19"/>
        <v/>
      </c>
      <c r="K24" s="18" t="str">
        <f t="shared" si="20"/>
        <v/>
      </c>
      <c r="L24" s="18" t="str">
        <f t="shared" si="11"/>
        <v/>
      </c>
      <c r="M24" s="18" t="str">
        <f t="shared" si="0"/>
        <v/>
      </c>
      <c r="N24" s="18" t="str">
        <f t="shared" si="12"/>
        <v/>
      </c>
      <c r="O24" s="227">
        <f>IF(Inputs!H27="",1,Inputs!H27)</f>
        <v>1</v>
      </c>
      <c r="P24" s="126" t="e">
        <f>IF(OR(N24="",Inputs!J27="No",Method_BI=FALSE),NA(),EXP(LN($B$6/100)+N24))</f>
        <v>#N/A</v>
      </c>
      <c r="Q24" s="44" t="e">
        <f t="shared" si="1"/>
        <v>#N/A</v>
      </c>
      <c r="R24" s="19" t="e">
        <f>IF(OR(N24="",Inputs!J27="No",Method_BI=FALSE),NA(),Q24/P24)</f>
        <v>#N/A</v>
      </c>
      <c r="S24" s="97" t="e">
        <v>#N/A</v>
      </c>
      <c r="T24" s="127" t="e">
        <f t="shared" si="13"/>
        <v>#N/A</v>
      </c>
      <c r="U24" s="81" t="str">
        <f t="shared" si="14"/>
        <v/>
      </c>
      <c r="V24" s="523" t="str">
        <f t="shared" si="2"/>
        <v/>
      </c>
      <c r="W24" s="29" t="str">
        <f>IF(Inputs!C27="","",IF(Inputs!D27="Standard SS (2-in OD)",Inputs!C27,IF(Inputs!D27="Non-Standard (3-in OD)",Inputs!C27*0.44,IF(Inputs!D27="Non-Standard (2.5-in OD)",Inputs!C27*0.64, IF(Inputs!D27="D&amp;M SS (3.25-in OD)",Inputs!C27*0.3786,IF(Inputs!D27="Custom Factor",Inputs!C27*NFACT))))))</f>
        <v/>
      </c>
      <c r="X24" s="29" t="str">
        <f t="shared" si="3"/>
        <v/>
      </c>
      <c r="Y24" s="29" t="str">
        <f t="shared" si="4"/>
        <v/>
      </c>
      <c r="Z24" s="29" t="str">
        <f t="shared" si="5"/>
        <v/>
      </c>
      <c r="AA24" s="29" t="str">
        <f t="shared" si="6"/>
        <v/>
      </c>
      <c r="AB24" s="29" t="str">
        <f t="shared" si="7"/>
        <v/>
      </c>
      <c r="AC24" s="29" t="str">
        <f t="shared" si="8"/>
        <v/>
      </c>
      <c r="AE24" s="29" t="str">
        <f t="shared" si="8"/>
        <v/>
      </c>
      <c r="AH24" s="464" t="e">
        <f t="shared" si="15"/>
        <v>#N/A</v>
      </c>
      <c r="AI24" s="464">
        <f t="shared" si="16"/>
        <v>1.7560412973596036</v>
      </c>
    </row>
    <row r="25" spans="1:35" x14ac:dyDescent="0.25">
      <c r="A25" s="105" t="str">
        <f>IF(Inputs!B28="","",IF(units=2,CONVERT(Inputs!B28,"ft","m"),Inputs!B28))</f>
        <v/>
      </c>
      <c r="B25" s="35" t="str">
        <f t="shared" si="9"/>
        <v/>
      </c>
      <c r="C25" s="35" t="str">
        <f>IF(Inputs!E28="","",IF(units=2,Inputs!E28*0.1571,Inputs!E28))</f>
        <v/>
      </c>
      <c r="D25" s="10" t="str">
        <f>IF(Inputs!F28="","",Inputs!F28)</f>
        <v/>
      </c>
      <c r="E25" s="108" t="str">
        <f>IF(Inputs!G28="","",IF(units=2,CONVERT(Inputs!G28,"ft","m"),Inputs!G28))</f>
        <v/>
      </c>
      <c r="F25" s="92" t="e">
        <f t="shared" si="10"/>
        <v>#N/A</v>
      </c>
      <c r="G25" s="17" t="str">
        <f>IF(A25="","",G24+(SUM(E$10:E24)-A24)*C24+(A25-SUM(E$10:E24))*C25)</f>
        <v/>
      </c>
      <c r="H25" s="17" t="str">
        <f t="shared" si="17"/>
        <v/>
      </c>
      <c r="I25" s="18" t="str">
        <f t="shared" si="18"/>
        <v/>
      </c>
      <c r="J25" s="18" t="str">
        <f t="shared" si="19"/>
        <v/>
      </c>
      <c r="K25" s="18" t="str">
        <f t="shared" si="20"/>
        <v/>
      </c>
      <c r="L25" s="18" t="str">
        <f t="shared" si="11"/>
        <v/>
      </c>
      <c r="M25" s="18" t="str">
        <f t="shared" si="0"/>
        <v/>
      </c>
      <c r="N25" s="18" t="str">
        <f t="shared" si="12"/>
        <v/>
      </c>
      <c r="O25" s="227">
        <f>IF(Inputs!H28="",1,Inputs!H28)</f>
        <v>1</v>
      </c>
      <c r="P25" s="126" t="e">
        <f>IF(OR(N25="",Inputs!J28="No",Method_BI=FALSE),NA(),EXP(LN($B$6/100)+N25))</f>
        <v>#N/A</v>
      </c>
      <c r="Q25" s="44" t="e">
        <f t="shared" si="1"/>
        <v>#N/A</v>
      </c>
      <c r="R25" s="19" t="e">
        <f>IF(OR(N25="",Inputs!J28="No",Method_BI=FALSE),NA(),Q25/P25)</f>
        <v>#N/A</v>
      </c>
      <c r="S25" s="97" t="e">
        <v>#N/A</v>
      </c>
      <c r="T25" s="127" t="e">
        <f t="shared" si="13"/>
        <v>#N/A</v>
      </c>
      <c r="U25" s="81" t="str">
        <f t="shared" si="14"/>
        <v/>
      </c>
      <c r="V25" s="523" t="str">
        <f t="shared" si="2"/>
        <v/>
      </c>
      <c r="W25" s="29" t="str">
        <f>IF(Inputs!C28="","",IF(Inputs!D28="Standard SS (2-in OD)",Inputs!C28,IF(Inputs!D28="Non-Standard (3-in OD)",Inputs!C28*0.44,IF(Inputs!D28="Non-Standard (2.5-in OD)",Inputs!C28*0.64, IF(Inputs!D28="D&amp;M SS (3.25-in OD)",Inputs!C28*0.3786,IF(Inputs!D28="Custom Factor",Inputs!C28*NFACT))))))</f>
        <v/>
      </c>
      <c r="X25" s="29" t="str">
        <f t="shared" si="3"/>
        <v/>
      </c>
      <c r="Y25" s="29" t="str">
        <f t="shared" si="4"/>
        <v/>
      </c>
      <c r="Z25" s="29" t="str">
        <f t="shared" si="5"/>
        <v/>
      </c>
      <c r="AA25" s="29" t="str">
        <f t="shared" si="6"/>
        <v/>
      </c>
      <c r="AB25" s="29" t="str">
        <f t="shared" si="7"/>
        <v/>
      </c>
      <c r="AC25" s="29" t="str">
        <f t="shared" si="8"/>
        <v/>
      </c>
      <c r="AE25" s="29" t="str">
        <f t="shared" si="8"/>
        <v/>
      </c>
      <c r="AH25" s="464" t="e">
        <f t="shared" si="15"/>
        <v>#N/A</v>
      </c>
      <c r="AI25" s="464">
        <f t="shared" si="16"/>
        <v>1.7560412973596036</v>
      </c>
    </row>
    <row r="26" spans="1:35" x14ac:dyDescent="0.25">
      <c r="A26" s="105" t="str">
        <f>IF(Inputs!B29="","",IF(units=2,CONVERT(Inputs!B29,"ft","m"),Inputs!B29))</f>
        <v/>
      </c>
      <c r="B26" s="35" t="str">
        <f t="shared" si="9"/>
        <v/>
      </c>
      <c r="C26" s="35" t="str">
        <f>IF(Inputs!E29="","",IF(units=2,Inputs!E29*0.1571,Inputs!E29))</f>
        <v/>
      </c>
      <c r="D26" s="10" t="str">
        <f>IF(Inputs!F29="","",Inputs!F29)</f>
        <v/>
      </c>
      <c r="E26" s="108" t="str">
        <f>IF(Inputs!G29="","",IF(units=2,CONVERT(Inputs!G29,"ft","m"),Inputs!G29))</f>
        <v/>
      </c>
      <c r="F26" s="92" t="e">
        <f t="shared" si="10"/>
        <v>#N/A</v>
      </c>
      <c r="G26" s="17" t="str">
        <f>IF(A26="","",G25+(SUM(E$10:E25)-A25)*C25+(A26-SUM(E$10:E25))*C26)</f>
        <v/>
      </c>
      <c r="H26" s="17" t="str">
        <f t="shared" si="17"/>
        <v/>
      </c>
      <c r="I26" s="18" t="str">
        <f t="shared" si="18"/>
        <v/>
      </c>
      <c r="J26" s="18" t="str">
        <f t="shared" si="19"/>
        <v/>
      </c>
      <c r="K26" s="18" t="str">
        <f t="shared" si="20"/>
        <v/>
      </c>
      <c r="L26" s="18" t="str">
        <f t="shared" si="11"/>
        <v/>
      </c>
      <c r="M26" s="18" t="str">
        <f t="shared" si="0"/>
        <v/>
      </c>
      <c r="N26" s="18" t="str">
        <f t="shared" si="12"/>
        <v/>
      </c>
      <c r="O26" s="227">
        <f>IF(Inputs!H29="",1,Inputs!H29)</f>
        <v>1</v>
      </c>
      <c r="P26" s="126" t="e">
        <f>IF(OR(N26="",Inputs!J29="No",Method_BI=FALSE),NA(),EXP(LN($B$6/100)+N26))</f>
        <v>#N/A</v>
      </c>
      <c r="Q26" s="44" t="e">
        <f t="shared" si="1"/>
        <v>#N/A</v>
      </c>
      <c r="R26" s="19" t="e">
        <f>IF(OR(N26="",Inputs!J29="No",Method_BI=FALSE),NA(),Q26/P26)</f>
        <v>#N/A</v>
      </c>
      <c r="S26" s="97" t="e">
        <v>#N/A</v>
      </c>
      <c r="T26" s="127" t="e">
        <f t="shared" si="13"/>
        <v>#N/A</v>
      </c>
      <c r="U26" s="81" t="str">
        <f t="shared" si="14"/>
        <v/>
      </c>
      <c r="V26" s="523" t="str">
        <f t="shared" si="2"/>
        <v/>
      </c>
      <c r="W26" s="29" t="str">
        <f>IF(Inputs!C29="","",IF(Inputs!D29="Standard SS (2-in OD)",Inputs!C29,IF(Inputs!D29="Non-Standard (3-in OD)",Inputs!C29*0.44,IF(Inputs!D29="Non-Standard (2.5-in OD)",Inputs!C29*0.64, IF(Inputs!D29="D&amp;M SS (3.25-in OD)",Inputs!C29*0.3786,IF(Inputs!D29="Custom Factor",Inputs!C29*NFACT))))))</f>
        <v/>
      </c>
      <c r="X26" s="29" t="str">
        <f t="shared" si="3"/>
        <v/>
      </c>
      <c r="Y26" s="29" t="str">
        <f t="shared" si="4"/>
        <v/>
      </c>
      <c r="Z26" s="29" t="str">
        <f t="shared" si="5"/>
        <v/>
      </c>
      <c r="AA26" s="29" t="str">
        <f t="shared" si="6"/>
        <v/>
      </c>
      <c r="AB26" s="29" t="str">
        <f t="shared" si="7"/>
        <v/>
      </c>
      <c r="AC26" s="29" t="str">
        <f t="shared" si="8"/>
        <v/>
      </c>
      <c r="AE26" s="29" t="str">
        <f t="shared" si="8"/>
        <v/>
      </c>
      <c r="AH26" s="464" t="e">
        <f t="shared" si="15"/>
        <v>#N/A</v>
      </c>
      <c r="AI26" s="464">
        <f t="shared" si="16"/>
        <v>1.7560412973596036</v>
      </c>
    </row>
    <row r="27" spans="1:35" x14ac:dyDescent="0.25">
      <c r="A27" s="105" t="str">
        <f>IF(Inputs!B30="","",IF(units=2,CONVERT(Inputs!B30,"ft","m"),Inputs!B30))</f>
        <v/>
      </c>
      <c r="B27" s="35" t="str">
        <f t="shared" si="9"/>
        <v/>
      </c>
      <c r="C27" s="35" t="str">
        <f>IF(Inputs!E30="","",IF(units=2,Inputs!E30*0.1571,Inputs!E30))</f>
        <v/>
      </c>
      <c r="D27" s="10" t="str">
        <f>IF(Inputs!F30="","",Inputs!F30)</f>
        <v/>
      </c>
      <c r="E27" s="108" t="str">
        <f>IF(Inputs!G30="","",IF(units=2,CONVERT(Inputs!G30,"ft","m"),Inputs!G30))</f>
        <v/>
      </c>
      <c r="F27" s="92" t="e">
        <f t="shared" si="10"/>
        <v>#N/A</v>
      </c>
      <c r="G27" s="17" t="str">
        <f>IF(A27="","",G26+(SUM(E$10:E26)-A26)*C26+(A27-SUM(E$10:E26))*C27)</f>
        <v/>
      </c>
      <c r="H27" s="17" t="str">
        <f t="shared" si="17"/>
        <v/>
      </c>
      <c r="I27" s="18" t="str">
        <f t="shared" si="18"/>
        <v/>
      </c>
      <c r="J27" s="18" t="str">
        <f t="shared" si="19"/>
        <v/>
      </c>
      <c r="K27" s="18" t="str">
        <f t="shared" si="20"/>
        <v/>
      </c>
      <c r="L27" s="18" t="str">
        <f t="shared" si="11"/>
        <v/>
      </c>
      <c r="M27" s="18" t="str">
        <f t="shared" si="0"/>
        <v/>
      </c>
      <c r="N27" s="18" t="str">
        <f t="shared" si="12"/>
        <v/>
      </c>
      <c r="O27" s="227">
        <f>IF(Inputs!H30="",1,Inputs!H30)</f>
        <v>1</v>
      </c>
      <c r="P27" s="126" t="e">
        <f>IF(OR(N27="",Inputs!J30="No",Method_BI=FALSE),NA(),EXP(LN($B$6/100)+N27))</f>
        <v>#N/A</v>
      </c>
      <c r="Q27" s="44" t="e">
        <f t="shared" si="1"/>
        <v>#N/A</v>
      </c>
      <c r="R27" s="19" t="e">
        <f>IF(OR(N27="",Inputs!J30="No",Method_BI=FALSE),NA(),Q27/P27)</f>
        <v>#N/A</v>
      </c>
      <c r="S27" s="97" t="e">
        <v>#N/A</v>
      </c>
      <c r="T27" s="127" t="e">
        <f t="shared" si="13"/>
        <v>#N/A</v>
      </c>
      <c r="U27" s="81" t="str">
        <f t="shared" si="14"/>
        <v/>
      </c>
      <c r="V27" s="523" t="str">
        <f t="shared" si="2"/>
        <v/>
      </c>
      <c r="W27" s="29" t="str">
        <f>IF(Inputs!C30="","",IF(Inputs!D30="Standard SS (2-in OD)",Inputs!C30,IF(Inputs!D30="Non-Standard (3-in OD)",Inputs!C30*0.44,IF(Inputs!D30="Non-Standard (2.5-in OD)",Inputs!C30*0.64, IF(Inputs!D30="D&amp;M SS (3.25-in OD)",Inputs!C30*0.3786,IF(Inputs!D30="Custom Factor",Inputs!C30*NFACT))))))</f>
        <v/>
      </c>
      <c r="X27" s="29" t="str">
        <f t="shared" si="3"/>
        <v/>
      </c>
      <c r="Y27" s="29" t="str">
        <f t="shared" si="4"/>
        <v/>
      </c>
      <c r="Z27" s="29" t="str">
        <f t="shared" si="5"/>
        <v/>
      </c>
      <c r="AA27" s="29" t="str">
        <f t="shared" si="6"/>
        <v/>
      </c>
      <c r="AB27" s="29" t="str">
        <f t="shared" si="7"/>
        <v/>
      </c>
      <c r="AC27" s="29" t="str">
        <f t="shared" si="8"/>
        <v/>
      </c>
      <c r="AE27" s="29" t="str">
        <f t="shared" si="8"/>
        <v/>
      </c>
      <c r="AH27" s="464" t="e">
        <f t="shared" si="15"/>
        <v>#N/A</v>
      </c>
      <c r="AI27" s="464">
        <f t="shared" si="16"/>
        <v>1.7560412973596036</v>
      </c>
    </row>
    <row r="28" spans="1:35" x14ac:dyDescent="0.25">
      <c r="A28" s="105" t="str">
        <f>IF(Inputs!B31="","",IF(units=2,CONVERT(Inputs!B31,"ft","m"),Inputs!B31))</f>
        <v/>
      </c>
      <c r="B28" s="35" t="str">
        <f t="shared" si="9"/>
        <v/>
      </c>
      <c r="C28" s="35" t="str">
        <f>IF(Inputs!E31="","",IF(units=2,Inputs!E31*0.1571,Inputs!E31))</f>
        <v/>
      </c>
      <c r="D28" s="10" t="str">
        <f>IF(Inputs!F31="","",Inputs!F31)</f>
        <v/>
      </c>
      <c r="E28" s="108" t="str">
        <f>IF(Inputs!G31="","",IF(units=2,CONVERT(Inputs!G31,"ft","m"),Inputs!G31))</f>
        <v/>
      </c>
      <c r="F28" s="92" t="e">
        <f t="shared" si="10"/>
        <v>#N/A</v>
      </c>
      <c r="G28" s="17" t="str">
        <f>IF(A28="","",G27+(SUM(E$10:E27)-A27)*C27+(A28-SUM(E$10:E27))*C28)</f>
        <v/>
      </c>
      <c r="H28" s="17" t="str">
        <f t="shared" si="17"/>
        <v/>
      </c>
      <c r="I28" s="18" t="str">
        <f>IF(OR(A28&lt;$B$4,A28=""),"",LN((G28/H28)/2))</f>
        <v/>
      </c>
      <c r="J28" s="18" t="str">
        <f>IF(OR(A28&lt;$B$4,A28=""),"",-0.6712-1.126*SIN(A28/11.73+5.133)+(0.0675+0.118*SIN(A28/11.28+5.142))*$B$5)</f>
        <v/>
      </c>
      <c r="K28" s="18" t="str">
        <f>IF(OR(A28="",A28&lt;$B$4),"",LN($B$3/1))</f>
        <v/>
      </c>
      <c r="L28" s="18" t="str">
        <f t="shared" si="11"/>
        <v/>
      </c>
      <c r="M28" s="18" t="str">
        <f t="shared" si="0"/>
        <v/>
      </c>
      <c r="N28" s="18" t="str">
        <f t="shared" si="12"/>
        <v/>
      </c>
      <c r="O28" s="227">
        <f>IF(Inputs!H31="",1,Inputs!H31)</f>
        <v>1</v>
      </c>
      <c r="P28" s="126" t="e">
        <f>IF(OR(N28="",Inputs!J31="No",Method_BI=FALSE),NA(),EXP(LN($B$6/100)+N28))</f>
        <v>#N/A</v>
      </c>
      <c r="Q28" s="44" t="e">
        <f t="shared" si="1"/>
        <v>#N/A</v>
      </c>
      <c r="R28" s="19" t="e">
        <f>IF(OR(N28="",Inputs!J31="No",Method_BI=FALSE),NA(),Q28/P28)</f>
        <v>#N/A</v>
      </c>
      <c r="S28" s="97" t="e">
        <v>#N/A</v>
      </c>
      <c r="T28" s="127" t="e">
        <f t="shared" si="13"/>
        <v>#N/A</v>
      </c>
      <c r="U28" s="81" t="str">
        <f t="shared" si="14"/>
        <v/>
      </c>
      <c r="V28" s="523" t="str">
        <f t="shared" si="2"/>
        <v/>
      </c>
      <c r="W28" s="29" t="str">
        <f>IF(Inputs!C31="","",IF(Inputs!D31="Standard SS (2-in OD)",Inputs!C31,IF(Inputs!D31="Non-Standard (3-in OD)",Inputs!C31*0.44,IF(Inputs!D31="Non-Standard (2.5-in OD)",Inputs!C31*0.64, IF(Inputs!D31="D&amp;M SS (3.25-in OD)",Inputs!C31*0.3786,IF(Inputs!D31="Custom Factor",Inputs!C31*NFACT))))))</f>
        <v/>
      </c>
      <c r="X28" s="29" t="str">
        <f t="shared" si="3"/>
        <v/>
      </c>
      <c r="Y28" s="29" t="str">
        <f t="shared" si="4"/>
        <v/>
      </c>
      <c r="Z28" s="29" t="str">
        <f t="shared" si="5"/>
        <v/>
      </c>
      <c r="AA28" s="29" t="str">
        <f t="shared" si="6"/>
        <v/>
      </c>
      <c r="AB28" s="29" t="str">
        <f t="shared" si="7"/>
        <v/>
      </c>
      <c r="AC28" s="29" t="str">
        <f t="shared" si="8"/>
        <v/>
      </c>
      <c r="AE28" s="29" t="str">
        <f t="shared" si="8"/>
        <v/>
      </c>
    </row>
    <row r="29" spans="1:35" ht="16.5" thickBot="1" x14ac:dyDescent="0.3">
      <c r="A29" s="106" t="str">
        <f>IF(Inputs!B32="","",IF(units=2,CONVERT(Inputs!B32,"ft","m"),Inputs!B32))</f>
        <v/>
      </c>
      <c r="B29" s="45" t="str">
        <f>IF(AC29="","",AC29)</f>
        <v/>
      </c>
      <c r="C29" s="45" t="str">
        <f>IF(Inputs!E32="","",IF(units=2,Inputs!E32*0.1571,Inputs!E32))</f>
        <v/>
      </c>
      <c r="D29" s="11" t="str">
        <f>IF(Inputs!F32="","",Inputs!F32)</f>
        <v/>
      </c>
      <c r="E29" s="109" t="str">
        <f>IF(Inputs!G32="","",IF(units=2,CONVERT(Inputs!G32,"ft","m"),Inputs!G32))</f>
        <v/>
      </c>
      <c r="F29" s="94" t="e">
        <f t="shared" si="10"/>
        <v>#N/A</v>
      </c>
      <c r="G29" s="20" t="str">
        <f>IF(A29="","",G28+(SUM(E$10:E28)-A28)*C28+(A29-SUM(E$10:E28))*C29)</f>
        <v/>
      </c>
      <c r="H29" s="20" t="str">
        <f t="shared" si="17"/>
        <v/>
      </c>
      <c r="I29" s="21" t="str">
        <f>IF(OR(A29&lt;$B$4,A29=""),"",LN((G29/H29)/2))</f>
        <v/>
      </c>
      <c r="J29" s="21" t="str">
        <f>IF(OR(A29&lt;$B$4,A29=""),"",-0.6712-1.126*SIN(A29/11.73+5.133)+(0.0675+0.118*SIN(A29/11.28+5.142))*$B$5)</f>
        <v/>
      </c>
      <c r="K29" s="21" t="str">
        <f>IF(OR(A29="",A29&lt;$B$4),"",LN($B$3/1))</f>
        <v/>
      </c>
      <c r="L29" s="21" t="str">
        <f t="shared" si="11"/>
        <v/>
      </c>
      <c r="M29" s="21" t="str">
        <f t="shared" si="0"/>
        <v/>
      </c>
      <c r="N29" s="18" t="str">
        <f t="shared" si="12"/>
        <v/>
      </c>
      <c r="O29" s="228">
        <f>IF(Inputs!H32="",1,Inputs!H32)</f>
        <v>1</v>
      </c>
      <c r="P29" s="128" t="e">
        <f>IF(OR(N29="",Inputs!J32="No",Method_BI=FALSE),NA(),EXP(LN($B$6/100)+N29))</f>
        <v>#N/A</v>
      </c>
      <c r="Q29" s="129" t="e">
        <f t="shared" si="1"/>
        <v>#N/A</v>
      </c>
      <c r="R29" s="130" t="e">
        <f>IF(OR(N29="",Inputs!J32="No",Method_BI=FALSE),NA(),Q29/P29)</f>
        <v>#N/A</v>
      </c>
      <c r="S29" s="131" t="e">
        <v>#N/A</v>
      </c>
      <c r="T29" s="132" t="e">
        <f t="shared" si="13"/>
        <v>#N/A</v>
      </c>
      <c r="U29" s="81" t="str">
        <f t="shared" si="14"/>
        <v/>
      </c>
      <c r="V29" s="523" t="str">
        <f t="shared" si="2"/>
        <v/>
      </c>
      <c r="W29" s="29" t="str">
        <f>IF(Inputs!C32="","",IF(Inputs!D32="Standard SS (2-in OD)",Inputs!C32,IF(Inputs!D32="Non-Standard (3-in OD)",Inputs!C32*0.44,IF(Inputs!D32="Non-Standard (2.5-in OD)",Inputs!C32*0.64, IF(Inputs!D32="D&amp;M SS (3.25-in OD)",Inputs!C32*0.3786,IF(Inputs!D32="Custom Factor",Inputs!C32*NFACT))))))</f>
        <v/>
      </c>
      <c r="X29" s="29" t="str">
        <f t="shared" si="3"/>
        <v/>
      </c>
      <c r="Y29" s="29" t="str">
        <f t="shared" si="4"/>
        <v/>
      </c>
      <c r="Z29" s="29" t="str">
        <f t="shared" si="5"/>
        <v/>
      </c>
      <c r="AA29" s="29" t="str">
        <f t="shared" si="6"/>
        <v/>
      </c>
      <c r="AB29" s="29" t="str">
        <f t="shared" si="7"/>
        <v/>
      </c>
      <c r="AC29" s="29" t="str">
        <f t="shared" si="8"/>
        <v/>
      </c>
      <c r="AE29" s="29" t="str">
        <f t="shared" si="8"/>
        <v/>
      </c>
    </row>
    <row r="30" spans="1:35" x14ac:dyDescent="0.25">
      <c r="A30" s="429"/>
      <c r="B30" s="429"/>
      <c r="C30" s="429"/>
      <c r="D30" s="435"/>
      <c r="E30" s="429"/>
      <c r="F30" s="429"/>
      <c r="G30" s="429"/>
      <c r="H30" s="429"/>
      <c r="I30" s="429"/>
      <c r="J30" s="429"/>
      <c r="K30" s="429"/>
      <c r="L30" s="429"/>
      <c r="M30" s="429"/>
      <c r="N30" s="429"/>
      <c r="O30" s="429"/>
      <c r="P30" s="429"/>
      <c r="Q30" s="429"/>
      <c r="R30" s="429">
        <v>1</v>
      </c>
      <c r="S30" s="429">
        <v>1</v>
      </c>
      <c r="T30" s="429"/>
      <c r="U30" s="429"/>
      <c r="V30" s="429"/>
      <c r="W30" s="429"/>
      <c r="X30" s="429"/>
      <c r="Y30" s="429"/>
      <c r="Z30" s="429"/>
      <c r="AA30" s="429"/>
      <c r="AB30" s="436"/>
      <c r="AC30" s="429"/>
      <c r="AD30" s="429"/>
      <c r="AE30" s="429"/>
      <c r="AF30" s="429"/>
      <c r="AG30" s="429"/>
    </row>
    <row r="32" spans="1:35" x14ac:dyDescent="0.25">
      <c r="AB32" s="30"/>
    </row>
    <row r="34" spans="1:44" ht="17.25" x14ac:dyDescent="0.3">
      <c r="A34" s="2" t="s">
        <v>149</v>
      </c>
      <c r="W34" s="34" t="s">
        <v>349</v>
      </c>
    </row>
    <row r="36" spans="1:44" x14ac:dyDescent="0.25">
      <c r="A36" s="28" t="s">
        <v>21</v>
      </c>
      <c r="B36" s="5">
        <f>B2</f>
        <v>0.44</v>
      </c>
      <c r="C36" t="s">
        <v>22</v>
      </c>
      <c r="E36" s="13"/>
      <c r="H36" s="6"/>
    </row>
    <row r="37" spans="1:44" ht="16.5" x14ac:dyDescent="0.3">
      <c r="A37" s="28" t="s">
        <v>67</v>
      </c>
      <c r="B37" s="5">
        <f>B3</f>
        <v>1.06</v>
      </c>
      <c r="H37" s="6"/>
      <c r="L37" s="230"/>
    </row>
    <row r="38" spans="1:44" x14ac:dyDescent="0.25">
      <c r="A38" s="28" t="s">
        <v>38</v>
      </c>
      <c r="B38" s="270">
        <f>B4</f>
        <v>0</v>
      </c>
      <c r="C38" t="s">
        <v>23</v>
      </c>
      <c r="H38" s="14"/>
    </row>
    <row r="39" spans="1:44" ht="16.5" x14ac:dyDescent="0.3">
      <c r="A39" s="28" t="s">
        <v>68</v>
      </c>
      <c r="B39" s="95">
        <f>IF(Inputs!C39="",NA(),IF(units=1,Inputs!C39,CONVERT(Inputs!C39,"ft","m")))</f>
        <v>189.8904</v>
      </c>
      <c r="C39" t="s">
        <v>32</v>
      </c>
    </row>
    <row r="40" spans="1:44" ht="16.5" x14ac:dyDescent="0.3">
      <c r="A40" s="28" t="s">
        <v>66</v>
      </c>
      <c r="B40" s="5">
        <f>IF(Inputs!$C$51="",NA(),Inputs!$C$51)</f>
        <v>49.09</v>
      </c>
      <c r="E40" s="13"/>
    </row>
    <row r="41" spans="1:44" ht="18.75" thickBot="1" x14ac:dyDescent="0.4">
      <c r="A41" s="28" t="s">
        <v>50</v>
      </c>
      <c r="B41" s="95">
        <f>B5</f>
        <v>6.77</v>
      </c>
    </row>
    <row r="42" spans="1:44" ht="18.75" x14ac:dyDescent="0.35">
      <c r="A42" s="3" t="s">
        <v>33</v>
      </c>
      <c r="B42" s="4" t="s">
        <v>10</v>
      </c>
      <c r="C42" s="113" t="s">
        <v>11</v>
      </c>
      <c r="D42" s="4" t="s">
        <v>26</v>
      </c>
      <c r="E42" s="4" t="s">
        <v>34</v>
      </c>
      <c r="F42" s="4" t="s">
        <v>35</v>
      </c>
      <c r="G42" s="4" t="s">
        <v>36</v>
      </c>
      <c r="H42" s="4" t="s">
        <v>37</v>
      </c>
      <c r="I42" s="225" t="s">
        <v>210</v>
      </c>
      <c r="J42" s="84" t="s">
        <v>30</v>
      </c>
      <c r="K42" s="12" t="s">
        <v>29</v>
      </c>
      <c r="L42" s="136" t="s">
        <v>31</v>
      </c>
      <c r="M42" s="137" t="s">
        <v>91</v>
      </c>
      <c r="N42" s="138" t="s">
        <v>142</v>
      </c>
      <c r="W42" s="22" t="s">
        <v>13</v>
      </c>
      <c r="X42" s="33" t="s">
        <v>47</v>
      </c>
      <c r="Y42" s="22" t="s">
        <v>57</v>
      </c>
      <c r="Z42" s="22" t="s">
        <v>63</v>
      </c>
      <c r="AA42" s="22" t="s">
        <v>58</v>
      </c>
      <c r="AB42" s="38" t="s">
        <v>59</v>
      </c>
      <c r="AC42" s="38" t="s">
        <v>60</v>
      </c>
      <c r="AD42" s="38" t="s">
        <v>61</v>
      </c>
      <c r="AE42" s="22" t="s">
        <v>62</v>
      </c>
      <c r="AG42" s="22" t="s">
        <v>158</v>
      </c>
      <c r="AO42" s="22" t="s">
        <v>140</v>
      </c>
      <c r="AP42" t="s">
        <v>141</v>
      </c>
      <c r="AR42" s="22" t="s">
        <v>139</v>
      </c>
    </row>
    <row r="43" spans="1:44" x14ac:dyDescent="0.25">
      <c r="A43" s="104">
        <f>IF(A10="","",A10)</f>
        <v>0.4572</v>
      </c>
      <c r="B43" s="96">
        <f>IF(A43="","",AE43)</f>
        <v>30.800000000000004</v>
      </c>
      <c r="C43" s="114">
        <f>IF(D10="","",D10)</f>
        <v>10</v>
      </c>
      <c r="D43" s="90">
        <f t="shared" ref="D43:D62" si="21">IF(OR(A43="",Method_Cetin=FALSE),NA(),IF(C43&lt;5,B43,IF(C43&gt;35,B43*(1+0.004*35)+0.06*35,B43*(1+0.004*C43)+0.06*C43)))</f>
        <v>32.632000000000005</v>
      </c>
      <c r="E43" s="90">
        <f>IF(OR(A43&lt;$B$38,A43=""),"",13.79*LN((1-0.2*$B$4/A43)/(1+0.6*$B$4/A43))+3.82*LN(A43/6*(1+0.6*$B$4/A43)))</f>
        <v>-9.8341843782260288</v>
      </c>
      <c r="F43" s="90">
        <f>IF(OR(A43&lt;$B$38,A43=""),"",13.79*(LN(((-1.412+0.0525*$B$39+2.671*EXP(0.0268*$B$39-0.341*A43))/(-1.412+0.0525*$B$39+2.671*EXP(0.0268*$B$39)))/((14.079+2.313*EXP(0.0268*$B$39-0.341*A43))/(16.258+2.671*EXP(0.0268*$B$39))))))</f>
        <v>1.9455848351673954</v>
      </c>
      <c r="G43" s="90">
        <f>IF(OR(A43&lt;$B$38,A43=""),"",13.79*LN($B$37/1))</f>
        <v>0.80352824302962655</v>
      </c>
      <c r="H43" s="117">
        <f>IF(OR(A43&lt;$B$38,A43=""),"",SUM(E43:G43))</f>
        <v>-7.0850713000290071</v>
      </c>
      <c r="I43" s="226">
        <f>IF(Inputs!H13="",1,Inputs!H13)</f>
        <v>1</v>
      </c>
      <c r="J43" s="85">
        <f>IF(OR(A43&lt;$B$38,A43="",Inputs!J13="No",Method_Cetin=FALSE),NA(),MAX(1,$B$40+H43))</f>
        <v>42.004928699970996</v>
      </c>
      <c r="K43" s="46">
        <f>IF(OR(A43&lt;$B$38,A43="",Inputs!J13="No",Method_Cetin=FALSE),NA(),EXP((D43-J43)/13.79))</f>
        <v>0.5067739356819696</v>
      </c>
      <c r="L43" s="87">
        <f>IF(OR(A43&lt;$B$38,A43="",Inputs!J13="No",Method_Cetin=FALSE),NA(),_xlfn.NORM.S.DIST(-(B43*(1+0.004*C43)-13.79*LN(M43)-29.06*LN($B$5)-3.82*LN(H10/101.325)+0.06*C43+15.25)/4.21,TRUE))</f>
        <v>0.98700458844407801</v>
      </c>
      <c r="M43" s="87">
        <f>IF(OR(A43&lt;$B$38,A43="",Method_Cetin=FALSE),NA(),EXP((J43-29.06*LN($B$41)-3.82*LN(H10/101.325)+15.25+4.21*_xlfn.NORM.S.INV(0.5))/13.79))</f>
        <v>2.6853170884224604</v>
      </c>
      <c r="N43" s="86">
        <f t="shared" ref="N43:N62" si="22">IF(OR(A43="",Method_Cetin=FALSE),NA(),I43*EXP((D43-29.06*LN($B$41)-3.82*LN(H10/101.325)+15.25+4.21*_xlfn.NORM.S.INV(0.5))/13.79))</f>
        <v>1.3608487094538979</v>
      </c>
      <c r="W43" s="30">
        <f>W10</f>
        <v>20</v>
      </c>
      <c r="X43" s="29">
        <f>V10</f>
        <v>8.9279867159999995</v>
      </c>
      <c r="Y43" s="29">
        <f>IF(A43="","",MIN(1.6,(101.325/X43)^0.5))</f>
        <v>1.6</v>
      </c>
      <c r="Z43" s="29">
        <f>IF(A43="","",W43*Y43)</f>
        <v>32</v>
      </c>
      <c r="AA43" s="29">
        <f t="shared" ref="AA43:AA62" si="23">IF(A43="","",Efficiency/60)</f>
        <v>1.2833333333333334</v>
      </c>
      <c r="AB43" s="29">
        <f t="shared" ref="AB43:AB62" si="24">IF(A43="","",IF(Rod_L+A43&lt;3,0.75,IF(Rod_L+A43&gt;20,1,IF(Rod_L+A43&lt;9,((Rod_L+A43)/9.869)^(1/4.1397),((Rod_L+A43)/18.961)^(1/17.456)))))</f>
        <v>0.75</v>
      </c>
      <c r="AC43" s="29">
        <f t="shared" ref="AC43:AC62" si="25">IF(A43="","",IF(Bore_D&lt;=115,1,IF(Bore_D&lt;200,1.05,1.15)))</f>
        <v>1</v>
      </c>
      <c r="AD43" s="29">
        <f t="shared" ref="AD43:AD62" si="26">IF(A43="","",IF(no_liners="NL",IF(AE43&lt;=10,1.1,IF(AE43&gt;30,1.3,1+AE43/100)),1))</f>
        <v>1</v>
      </c>
      <c r="AE43" s="29">
        <f t="shared" ref="AE43:AG62" si="27">IF($A43="","",$Z43*$AA43*$AB43*$AC43*$AD43)</f>
        <v>30.800000000000004</v>
      </c>
      <c r="AG43" s="29">
        <f t="shared" si="27"/>
        <v>30.800000000000004</v>
      </c>
      <c r="AO43" s="29">
        <f t="shared" ref="AO43:AO48" si="28">(AR43/9.869)^(1/4.1397)</f>
        <v>0.75002377615896221</v>
      </c>
      <c r="AP43" s="22">
        <v>0.75</v>
      </c>
      <c r="AR43" s="22">
        <v>3</v>
      </c>
    </row>
    <row r="44" spans="1:44" x14ac:dyDescent="0.25">
      <c r="A44" s="105">
        <f t="shared" ref="A44:A62" si="29">IF(A11="","",A11)</f>
        <v>1.6763999999999999</v>
      </c>
      <c r="B44" s="35">
        <f>IF(A44="","",AE44)</f>
        <v>9.6360496090214056</v>
      </c>
      <c r="C44" s="115">
        <f t="shared" ref="C44:C62" si="30">IF(D11="","",D11)</f>
        <v>10</v>
      </c>
      <c r="D44" s="17">
        <f t="shared" si="21"/>
        <v>10.621491593382261</v>
      </c>
      <c r="E44" s="17">
        <f t="shared" ref="E44:E62" si="31">IF(OR(A44&lt;$B$38,A44=""),"",13.79*LN((1-0.2*$B$4/A44)/(1+0.6*$B$4/A44))+3.82*LN(A44/6*(1+0.6*$B$4/A44)))</f>
        <v>-4.870923378848433</v>
      </c>
      <c r="F44" s="17">
        <f t="shared" ref="F44:F62" si="32">IF(OR(A44&lt;$B$38,A44=""),"",13.79*(LN(((-1.412+0.0525*$B$39+2.671*EXP(0.0268*$B$39-0.341*A44))/(-1.412+0.0525*$B$39+2.671*EXP(0.0268*$B$39)))/((14.079+2.313*EXP(0.0268*$B$39-0.341*A44))/(16.258+2.671*EXP(0.0268*$B$39))))))</f>
        <v>1.809594907170164</v>
      </c>
      <c r="G44" s="17">
        <f t="shared" ref="G44:G62" si="33">IF(OR(A44&lt;$B$38,A44=""),"",13.79*LN($B$37/1))</f>
        <v>0.80352824302962655</v>
      </c>
      <c r="H44" s="118">
        <f t="shared" ref="H44:H62" si="34">IF(OR(A44&lt;$B$38,A44=""),"",SUM(E44:G44))</f>
        <v>-2.2578002286486423</v>
      </c>
      <c r="I44" s="227">
        <f>IF(Inputs!H14="",1,Inputs!H14)</f>
        <v>1</v>
      </c>
      <c r="J44" s="85">
        <f>IF(OR(A44&lt;$B$38,A44="",Inputs!J14="No",Method_Cetin=FALSE),NA(),MAX(1,$B$40+H44))</f>
        <v>46.832199771351362</v>
      </c>
      <c r="K44" s="46">
        <f>IF(OR(A44&lt;$B$38,A44="",Inputs!J14="No",Method_Cetin=FALSE),NA(),EXP((D44-J44)/13.79))</f>
        <v>7.2376967184628785E-2</v>
      </c>
      <c r="L44" s="87">
        <f>IF(OR(A44&lt;$B$38,A44="",Inputs!J14="No",Method_Cetin=FALSE),NA(),_xlfn.NORM.S.DIST(-(B44*(1+0.004*C44)-13.79*LN(M44)-29.06*LN($B$5)-3.82*LN(H11/101.325)+0.06*C44+15.25)/4.21,TRUE))</f>
        <v>1</v>
      </c>
      <c r="M44" s="87">
        <f t="shared" ref="M44:M62" si="35">IF(OR(A44&lt;$B$38,A44="",Method_Cetin=FALSE),NA(),EXP((J44-29.06*LN($B$41)-3.82*LN(H11/101.325)+15.25+4.21*_xlfn.NORM.S.INV(0.5))/13.79))</f>
        <v>2.6589660085161717</v>
      </c>
      <c r="N44" s="86">
        <f t="shared" si="22"/>
        <v>0.19244789554341832</v>
      </c>
      <c r="W44" s="30">
        <f t="shared" ref="W44:W62" si="36">W11</f>
        <v>6.16</v>
      </c>
      <c r="X44" s="29">
        <f t="shared" ref="X44:X62" si="37">V11</f>
        <v>31.241364491999995</v>
      </c>
      <c r="Y44" s="29">
        <f t="shared" ref="Y44:Y62" si="38">IF(A44="","",MIN(1.6,(101.325/X44)^0.5))</f>
        <v>1.6</v>
      </c>
      <c r="Z44" s="29">
        <f t="shared" ref="Z44:Z62" si="39">IF(A44="","",W44*Y44)</f>
        <v>9.8560000000000016</v>
      </c>
      <c r="AA44" s="29">
        <f t="shared" si="23"/>
        <v>1.2833333333333334</v>
      </c>
      <c r="AB44" s="29">
        <f t="shared" si="24"/>
        <v>0.76183138037253884</v>
      </c>
      <c r="AC44" s="29">
        <f t="shared" si="25"/>
        <v>1</v>
      </c>
      <c r="AD44" s="29">
        <f t="shared" si="26"/>
        <v>1</v>
      </c>
      <c r="AE44" s="29">
        <f t="shared" si="27"/>
        <v>9.6360496090214056</v>
      </c>
      <c r="AG44" s="29">
        <f t="shared" si="27"/>
        <v>9.6360496090214056</v>
      </c>
      <c r="AO44" s="29">
        <f t="shared" si="28"/>
        <v>0.80399927434982477</v>
      </c>
      <c r="AP44" s="22">
        <v>0.8</v>
      </c>
      <c r="AR44" s="22">
        <v>4</v>
      </c>
    </row>
    <row r="45" spans="1:44" x14ac:dyDescent="0.25">
      <c r="A45" s="105">
        <f t="shared" si="29"/>
        <v>3.2004000000000001</v>
      </c>
      <c r="B45" s="35">
        <f>IF(A45="","",AE45)</f>
        <v>12.235900757697163</v>
      </c>
      <c r="C45" s="115">
        <f t="shared" si="30"/>
        <v>10</v>
      </c>
      <c r="D45" s="17">
        <f t="shared" si="21"/>
        <v>13.32533678800505</v>
      </c>
      <c r="E45" s="17">
        <f t="shared" si="31"/>
        <v>-2.4008076088347328</v>
      </c>
      <c r="F45" s="17">
        <f t="shared" si="32"/>
        <v>1.5500852036431705</v>
      </c>
      <c r="G45" s="17">
        <f t="shared" si="33"/>
        <v>0.80352824302962655</v>
      </c>
      <c r="H45" s="118">
        <f t="shared" si="34"/>
        <v>-4.7194162161935727E-2</v>
      </c>
      <c r="I45" s="227">
        <f>IF(Inputs!H15="",1,Inputs!H15)</f>
        <v>1</v>
      </c>
      <c r="J45" s="85">
        <f>IF(OR(A45&lt;$B$38,A45="",Inputs!J15="No",Method_Cetin=FALSE),NA(),MAX(1,$B$40+H45))</f>
        <v>49.042805837838067</v>
      </c>
      <c r="K45" s="46">
        <f>IF(OR(A45&lt;$B$38,A45="",Inputs!J15="No",Method_Cetin=FALSE),NA(),EXP((D45-J45)/13.79))</f>
        <v>7.5012592581681872E-2</v>
      </c>
      <c r="L45" s="87">
        <f>IF(OR(A45&lt;$B$38,A45="",Inputs!J15="No",Method_Cetin=FALSE),NA(),_xlfn.NORM.S.DIST(-(B45*(1+0.004*C45)-13.79*LN(M45)-29.06*LN($B$5)-3.82*LN(H12/101.325)+0.06*C45+15.25)/4.21,TRUE))</f>
        <v>1</v>
      </c>
      <c r="M45" s="87">
        <f t="shared" si="35"/>
        <v>2.6093956450717322</v>
      </c>
      <c r="N45" s="86">
        <f t="shared" si="22"/>
        <v>0.1957375324081809</v>
      </c>
      <c r="W45" s="30">
        <f t="shared" si="36"/>
        <v>7.68</v>
      </c>
      <c r="X45" s="29">
        <f t="shared" si="37"/>
        <v>46.055452211999992</v>
      </c>
      <c r="Y45" s="29">
        <f t="shared" si="38"/>
        <v>1.483261693138856</v>
      </c>
      <c r="Z45" s="29">
        <f t="shared" si="39"/>
        <v>11.391449803306413</v>
      </c>
      <c r="AA45" s="29">
        <f t="shared" si="23"/>
        <v>1.2833333333333334</v>
      </c>
      <c r="AB45" s="29">
        <f t="shared" si="24"/>
        <v>0.83698460577980938</v>
      </c>
      <c r="AC45" s="29">
        <f t="shared" si="25"/>
        <v>1</v>
      </c>
      <c r="AD45" s="29">
        <f t="shared" si="26"/>
        <v>1</v>
      </c>
      <c r="AE45" s="29">
        <f t="shared" si="27"/>
        <v>12.235900757697163</v>
      </c>
      <c r="AG45" s="29">
        <f t="shared" si="27"/>
        <v>12.235900757697163</v>
      </c>
      <c r="AO45" s="29">
        <f t="shared" si="28"/>
        <v>0.84852681007212671</v>
      </c>
      <c r="AP45" s="22">
        <v>0.85</v>
      </c>
      <c r="AR45" s="22">
        <v>5</v>
      </c>
    </row>
    <row r="46" spans="1:44" x14ac:dyDescent="0.25">
      <c r="A46" s="105">
        <f t="shared" si="29"/>
        <v>4.5720000000000001</v>
      </c>
      <c r="B46" s="35">
        <f t="shared" ref="B46:B62" si="40">IF(A46="","",AE46)</f>
        <v>1.6947589772898803</v>
      </c>
      <c r="C46" s="115">
        <f t="shared" si="30"/>
        <v>60</v>
      </c>
      <c r="D46" s="17">
        <f t="shared" si="21"/>
        <v>4.0320252341104634</v>
      </c>
      <c r="E46" s="17">
        <f t="shared" si="31"/>
        <v>-1.0383093229887748</v>
      </c>
      <c r="F46" s="17">
        <f t="shared" si="32"/>
        <v>1.1967512051406066</v>
      </c>
      <c r="G46" s="17">
        <f t="shared" si="33"/>
        <v>0.80352824302962655</v>
      </c>
      <c r="H46" s="118">
        <f t="shared" si="34"/>
        <v>0.96197012518145841</v>
      </c>
      <c r="I46" s="227">
        <f>IF(Inputs!H16="",1,Inputs!H16)</f>
        <v>1</v>
      </c>
      <c r="J46" s="85" t="e">
        <f>IF(OR(A46&lt;$B$38,A46="",Inputs!J16="No",Method_Cetin=FALSE),NA(),MAX(1,$B$40+H46))</f>
        <v>#N/A</v>
      </c>
      <c r="K46" s="46" t="e">
        <f>IF(OR(A46&lt;$B$38,A46="",Inputs!J16="No",Method_Cetin=FALSE),NA(),EXP((D46-J46)/13.79))</f>
        <v>#N/A</v>
      </c>
      <c r="L46" s="87" t="e">
        <f>IF(OR(A46&lt;$B$38,A46="",Inputs!J16="No",Method_Cetin=FALSE),NA(),_xlfn.NORM.S.DIST(-(B46*(1+0.004*C46)-13.79*LN(M46)-29.06*LN($B$5)-3.82*LN(H13/101.325)+0.06*C46+15.25)/4.21,TRUE))</f>
        <v>#N/A</v>
      </c>
      <c r="M46" s="87" t="e">
        <f t="shared" si="35"/>
        <v>#N/A</v>
      </c>
      <c r="N46" s="86">
        <f t="shared" si="22"/>
        <v>9.0382852623987819E-2</v>
      </c>
      <c r="W46" s="30">
        <f t="shared" si="36"/>
        <v>1.1357999999999999</v>
      </c>
      <c r="X46" s="29">
        <f t="shared" si="37"/>
        <v>59.388131159999993</v>
      </c>
      <c r="Y46" s="29">
        <f t="shared" si="38"/>
        <v>1.3061963826534233</v>
      </c>
      <c r="Z46" s="29">
        <f t="shared" si="39"/>
        <v>1.483577851417758</v>
      </c>
      <c r="AA46" s="29">
        <f t="shared" si="23"/>
        <v>1.2833333333333334</v>
      </c>
      <c r="AB46" s="29">
        <f t="shared" si="24"/>
        <v>0.89013961054570123</v>
      </c>
      <c r="AC46" s="29">
        <f t="shared" si="25"/>
        <v>1</v>
      </c>
      <c r="AD46" s="29">
        <f t="shared" si="26"/>
        <v>1</v>
      </c>
      <c r="AE46" s="29">
        <f t="shared" si="27"/>
        <v>1.6947589772898803</v>
      </c>
      <c r="AG46" s="29">
        <f t="shared" si="27"/>
        <v>1.6947589772898803</v>
      </c>
      <c r="AO46" s="29">
        <f t="shared" si="28"/>
        <v>0.8867329766802311</v>
      </c>
      <c r="AP46" s="22">
        <v>0.9</v>
      </c>
      <c r="AR46" s="22">
        <v>6</v>
      </c>
    </row>
    <row r="47" spans="1:44" x14ac:dyDescent="0.25">
      <c r="A47" s="105">
        <f t="shared" si="29"/>
        <v>6.2484000000000002</v>
      </c>
      <c r="B47" s="35">
        <f t="shared" si="40"/>
        <v>20.814634562240858</v>
      </c>
      <c r="C47" s="115">
        <f t="shared" si="30"/>
        <v>10</v>
      </c>
      <c r="D47" s="17">
        <f t="shared" si="21"/>
        <v>22.247219944730496</v>
      </c>
      <c r="E47" s="17">
        <f t="shared" si="31"/>
        <v>0.15496197387224789</v>
      </c>
      <c r="F47" s="17">
        <f t="shared" si="32"/>
        <v>0.55798573332353796</v>
      </c>
      <c r="G47" s="17">
        <f t="shared" si="33"/>
        <v>0.80352824302962655</v>
      </c>
      <c r="H47" s="118">
        <f t="shared" si="34"/>
        <v>1.5164759502254124</v>
      </c>
      <c r="I47" s="227">
        <f>IF(Inputs!H17="",1,Inputs!H17)</f>
        <v>1</v>
      </c>
      <c r="J47" s="85">
        <f>IF(OR(A47&lt;$B$38,A47="",Inputs!J17="No",Method_Cetin=FALSE),NA(),MAX(1,$B$40+H47))</f>
        <v>50.606475950225416</v>
      </c>
      <c r="K47" s="46">
        <f>IF(OR(A47&lt;$B$38,A47="",Inputs!J17="No",Method_Cetin=FALSE),NA(),EXP((D47-J47)/13.79))</f>
        <v>0.12789971804790864</v>
      </c>
      <c r="L47" s="87">
        <f>IF(OR(A47&lt;$B$38,A47="",Inputs!J17="No",Method_Cetin=FALSE),NA(),_xlfn.NORM.S.DIST(-(B47*(1+0.004*C47)-13.79*LN(M47)-29.06*LN($B$5)-3.82*LN(H14/101.325)+0.06*C47+15.25)/4.21,TRUE))</f>
        <v>0.99999999999186895</v>
      </c>
      <c r="M47" s="87">
        <f t="shared" si="35"/>
        <v>2.4282607055619039</v>
      </c>
      <c r="N47" s="86">
        <f t="shared" si="22"/>
        <v>0.31057385958818323</v>
      </c>
      <c r="W47" s="30">
        <f t="shared" si="36"/>
        <v>14.850000000000001</v>
      </c>
      <c r="X47" s="29">
        <f t="shared" si="37"/>
        <v>75.683627651999984</v>
      </c>
      <c r="Y47" s="29">
        <f t="shared" si="38"/>
        <v>1.1570638788109513</v>
      </c>
      <c r="Z47" s="29">
        <f t="shared" si="39"/>
        <v>17.18239860034263</v>
      </c>
      <c r="AA47" s="29">
        <f t="shared" si="23"/>
        <v>1.2833333333333334</v>
      </c>
      <c r="AB47" s="29">
        <f t="shared" si="24"/>
        <v>0.94394246926978276</v>
      </c>
      <c r="AC47" s="29">
        <f t="shared" si="25"/>
        <v>1</v>
      </c>
      <c r="AD47" s="29">
        <f t="shared" si="26"/>
        <v>1</v>
      </c>
      <c r="AE47" s="29">
        <f t="shared" si="27"/>
        <v>20.814634562240858</v>
      </c>
      <c r="AG47" s="29">
        <f t="shared" si="27"/>
        <v>20.814634562240858</v>
      </c>
      <c r="AO47" s="29">
        <f t="shared" si="28"/>
        <v>0.92037487337803148</v>
      </c>
      <c r="AP47" s="22">
        <v>0.92</v>
      </c>
      <c r="AR47" s="22">
        <v>7</v>
      </c>
    </row>
    <row r="48" spans="1:44" x14ac:dyDescent="0.25">
      <c r="A48" s="105">
        <f t="shared" si="29"/>
        <v>7.7724000000000002</v>
      </c>
      <c r="B48" s="35">
        <f t="shared" si="40"/>
        <v>28.679310145415499</v>
      </c>
      <c r="C48" s="115">
        <f t="shared" si="30"/>
        <v>10</v>
      </c>
      <c r="D48" s="17">
        <f t="shared" si="21"/>
        <v>30.426482551232123</v>
      </c>
      <c r="E48" s="17">
        <f t="shared" si="31"/>
        <v>0.98869059606871645</v>
      </c>
      <c r="F48" s="17">
        <f t="shared" si="32"/>
        <v>-0.25288289964721866</v>
      </c>
      <c r="G48" s="17">
        <f t="shared" si="33"/>
        <v>0.80352824302962655</v>
      </c>
      <c r="H48" s="118">
        <f t="shared" si="34"/>
        <v>1.5393359394511243</v>
      </c>
      <c r="I48" s="227">
        <f>IF(Inputs!H18="",1,Inputs!H18)</f>
        <v>1</v>
      </c>
      <c r="J48" s="85">
        <f>IF(OR(A48&lt;$B$38,A48="",Inputs!J18="No",Method_Cetin=FALSE),NA(),MAX(1,$B$40+H48))</f>
        <v>50.629335939451124</v>
      </c>
      <c r="K48" s="46">
        <f>IF(OR(A48&lt;$B$38,A48="",Inputs!J18="No",Method_Cetin=FALSE),NA(),EXP((D48-J48)/13.79))</f>
        <v>0.23106955639281196</v>
      </c>
      <c r="L48" s="87">
        <f>IF(OR(A48&lt;$B$38,A48="",Inputs!J18="No",Method_Cetin=FALSE),NA(),_xlfn.NORM.S.DIST(-(B48*(1+0.004*C48)-13.79*LN(M48)-29.06*LN($B$5)-3.82*LN(H15/101.325)+0.06*C48+15.25)/4.21,TRUE))</f>
        <v>0.99999920181503199</v>
      </c>
      <c r="M48" s="87">
        <f t="shared" si="35"/>
        <v>2.2895929161369906</v>
      </c>
      <c r="N48" s="86">
        <f t="shared" si="22"/>
        <v>0.52905521945189915</v>
      </c>
      <c r="W48" s="30">
        <f t="shared" si="36"/>
        <v>22</v>
      </c>
      <c r="X48" s="29">
        <f t="shared" si="37"/>
        <v>90.497715371999988</v>
      </c>
      <c r="Y48" s="29">
        <f t="shared" si="38"/>
        <v>1.0581311471024051</v>
      </c>
      <c r="Z48" s="29">
        <f t="shared" si="39"/>
        <v>23.278885236252911</v>
      </c>
      <c r="AA48" s="29">
        <f t="shared" si="23"/>
        <v>1.2833333333333334</v>
      </c>
      <c r="AB48" s="29">
        <f t="shared" si="24"/>
        <v>0.95999074578634036</v>
      </c>
      <c r="AC48" s="29">
        <f t="shared" si="25"/>
        <v>1</v>
      </c>
      <c r="AD48" s="29">
        <f t="shared" si="26"/>
        <v>1</v>
      </c>
      <c r="AE48" s="29">
        <f t="shared" si="27"/>
        <v>28.679310145415499</v>
      </c>
      <c r="AG48" s="29">
        <f t="shared" si="27"/>
        <v>28.679310145415499</v>
      </c>
      <c r="AO48" s="29">
        <f t="shared" si="28"/>
        <v>0.95054675925615573</v>
      </c>
      <c r="AP48" s="22">
        <v>0.94</v>
      </c>
      <c r="AR48" s="22">
        <v>8</v>
      </c>
    </row>
    <row r="49" spans="1:44" x14ac:dyDescent="0.25">
      <c r="A49" s="105">
        <f t="shared" si="29"/>
        <v>9.2964000000000002</v>
      </c>
      <c r="B49" s="35">
        <f t="shared" si="40"/>
        <v>19.503974728605119</v>
      </c>
      <c r="C49" s="115">
        <f t="shared" si="30"/>
        <v>10</v>
      </c>
      <c r="D49" s="17">
        <f t="shared" si="21"/>
        <v>20.884133717749325</v>
      </c>
      <c r="E49" s="17">
        <f t="shared" si="31"/>
        <v>1.6726548402038408</v>
      </c>
      <c r="F49" s="17">
        <f t="shared" si="32"/>
        <v>-1.2652551758018726</v>
      </c>
      <c r="G49" s="17">
        <f t="shared" si="33"/>
        <v>0.80352824302962655</v>
      </c>
      <c r="H49" s="118">
        <f t="shared" si="34"/>
        <v>1.2109279074315946</v>
      </c>
      <c r="I49" s="227">
        <f>IF(Inputs!H19="",1,Inputs!H19)</f>
        <v>1</v>
      </c>
      <c r="J49" s="85">
        <f>IF(OR(A49&lt;$B$38,A49="",Inputs!J19="No",Method_Cetin=FALSE),NA(),MAX(1,$B$40+H49))</f>
        <v>50.3009279074316</v>
      </c>
      <c r="K49" s="46">
        <f>IF(OR(A49&lt;$B$38,A49="",Inputs!J19="No",Method_Cetin=FALSE),NA(),EXP((D49-J49)/13.79))</f>
        <v>0.11845791274525296</v>
      </c>
      <c r="L49" s="87">
        <f>IF(OR(A49&lt;$B$38,A49="",Inputs!J19="No",Method_Cetin=FALSE),NA(),_xlfn.NORM.S.DIST(-(B49*(1+0.004*C49)-13.79*LN(M49)-29.06*LN($B$5)-3.82*LN(H16/101.325)+0.06*C49+15.25)/4.21,TRUE))</f>
        <v>0.99999999999859945</v>
      </c>
      <c r="M49" s="87">
        <f t="shared" si="35"/>
        <v>2.1275275435569823</v>
      </c>
      <c r="N49" s="86">
        <f t="shared" si="22"/>
        <v>0.25202247211779544</v>
      </c>
      <c r="W49" s="30">
        <f t="shared" si="36"/>
        <v>16</v>
      </c>
      <c r="X49" s="29">
        <f t="shared" si="37"/>
        <v>105.31180309200001</v>
      </c>
      <c r="Y49" s="29">
        <f t="shared" si="38"/>
        <v>0.98088881404563821</v>
      </c>
      <c r="Z49" s="29">
        <f t="shared" si="39"/>
        <v>15.694221024730211</v>
      </c>
      <c r="AA49" s="29">
        <f t="shared" si="23"/>
        <v>1.2833333333333334</v>
      </c>
      <c r="AB49" s="29">
        <f t="shared" si="24"/>
        <v>0.96837570733698275</v>
      </c>
      <c r="AC49" s="29">
        <f t="shared" si="25"/>
        <v>1</v>
      </c>
      <c r="AD49" s="29">
        <f t="shared" si="26"/>
        <v>1</v>
      </c>
      <c r="AE49" s="29">
        <f t="shared" si="27"/>
        <v>19.503974728605119</v>
      </c>
      <c r="AG49" s="29">
        <f t="shared" si="27"/>
        <v>19.503974728605119</v>
      </c>
      <c r="AO49" s="30">
        <f>(AR49/18.961)^(1/17.456)</f>
        <v>0.95821041852825428</v>
      </c>
      <c r="AP49" s="22">
        <v>0.95699999999999996</v>
      </c>
      <c r="AQ49" s="22">
        <v>0.95699999999999996</v>
      </c>
      <c r="AR49" s="22">
        <v>9</v>
      </c>
    </row>
    <row r="50" spans="1:44" x14ac:dyDescent="0.25">
      <c r="A50" s="105">
        <f t="shared" si="29"/>
        <v>10.820399999999999</v>
      </c>
      <c r="B50" s="35">
        <f t="shared" si="40"/>
        <v>8.222572974280391</v>
      </c>
      <c r="C50" s="115">
        <f t="shared" si="30"/>
        <v>10</v>
      </c>
      <c r="D50" s="17">
        <f t="shared" si="21"/>
        <v>9.1514758932516074</v>
      </c>
      <c r="E50" s="17">
        <f t="shared" si="31"/>
        <v>2.2525538093596165</v>
      </c>
      <c r="F50" s="17">
        <f t="shared" si="32"/>
        <v>-2.3909707300490251</v>
      </c>
      <c r="G50" s="17">
        <f t="shared" si="33"/>
        <v>0.80352824302962655</v>
      </c>
      <c r="H50" s="118">
        <f t="shared" si="34"/>
        <v>0.66511132234021797</v>
      </c>
      <c r="I50" s="227">
        <f>IF(Inputs!H20="",1,Inputs!H20)</f>
        <v>1</v>
      </c>
      <c r="J50" s="85">
        <f>IF(OR(A50&lt;$B$38,A50="",Inputs!J20="No",Method_Cetin=FALSE),NA(),MAX(1,$B$40+H50))</f>
        <v>49.75511132234022</v>
      </c>
      <c r="K50" s="46">
        <f>IF(OR(A50&lt;$B$38,A50="",Inputs!J20="No",Method_Cetin=FALSE),NA(),EXP((D50-J50)/13.79))</f>
        <v>5.2632258672442339E-2</v>
      </c>
      <c r="L50" s="87">
        <f>IF(OR(A50&lt;$B$38,A50="",Inputs!J20="No",Method_Cetin=FALSE),NA(),_xlfn.NORM.S.DIST(-(B50*(1+0.004*C50)-13.79*LN(M50)-29.06*LN($B$5)-3.82*LN(H17/101.325)+0.06*C50+15.25)/4.21,TRUE))</f>
        <v>1</v>
      </c>
      <c r="M50" s="87">
        <f t="shared" si="35"/>
        <v>1.9607514306875602</v>
      </c>
      <c r="N50" s="86">
        <f t="shared" si="22"/>
        <v>0.10319877649230906</v>
      </c>
      <c r="W50" s="30">
        <f t="shared" si="36"/>
        <v>7.15</v>
      </c>
      <c r="X50" s="29">
        <f t="shared" si="37"/>
        <v>120.12589081199998</v>
      </c>
      <c r="Y50" s="29">
        <f t="shared" si="38"/>
        <v>0.91841717257661126</v>
      </c>
      <c r="Z50" s="29">
        <f t="shared" si="39"/>
        <v>6.5666827839227713</v>
      </c>
      <c r="AA50" s="29">
        <f t="shared" si="23"/>
        <v>1.2833333333333334</v>
      </c>
      <c r="AB50" s="29">
        <f t="shared" si="24"/>
        <v>0.97571329863919298</v>
      </c>
      <c r="AC50" s="29">
        <f t="shared" si="25"/>
        <v>1</v>
      </c>
      <c r="AD50" s="29">
        <f t="shared" si="26"/>
        <v>1</v>
      </c>
      <c r="AE50" s="29">
        <f t="shared" si="27"/>
        <v>8.222572974280391</v>
      </c>
      <c r="AG50" s="29">
        <f t="shared" si="27"/>
        <v>8.222572974280391</v>
      </c>
      <c r="AO50" s="30">
        <f t="shared" ref="AO50:AO56" si="41">(AR50/18.961)^(1/17.456)</f>
        <v>0.96401145177240277</v>
      </c>
      <c r="AP50" s="22"/>
      <c r="AQ50" s="22">
        <v>0.96399999999999997</v>
      </c>
      <c r="AR50" s="22">
        <v>10</v>
      </c>
    </row>
    <row r="51" spans="1:44" x14ac:dyDescent="0.25">
      <c r="A51" s="105">
        <f t="shared" si="29"/>
        <v>12.4968</v>
      </c>
      <c r="B51" s="35">
        <f t="shared" si="40"/>
        <v>1.7936216801192344</v>
      </c>
      <c r="C51" s="115">
        <f t="shared" si="30"/>
        <v>70</v>
      </c>
      <c r="D51" s="17">
        <f t="shared" si="21"/>
        <v>4.144728715335928</v>
      </c>
      <c r="E51" s="17">
        <f t="shared" si="31"/>
        <v>2.8027842036112389</v>
      </c>
      <c r="F51" s="17">
        <f t="shared" si="32"/>
        <v>-3.5965627894518786</v>
      </c>
      <c r="G51" s="17">
        <f t="shared" si="33"/>
        <v>0.80352824302962655</v>
      </c>
      <c r="H51" s="118">
        <f t="shared" si="34"/>
        <v>9.7496571889869044E-3</v>
      </c>
      <c r="I51" s="227">
        <f>IF(Inputs!H21="",1,Inputs!H21)</f>
        <v>1</v>
      </c>
      <c r="J51" s="85" t="e">
        <f>IF(OR(A51&lt;$B$38,A51="",Inputs!J21="No",Method_Cetin=FALSE),NA(),MAX(1,$B$40+H51))</f>
        <v>#N/A</v>
      </c>
      <c r="K51" s="46" t="e">
        <f>IF(OR(A51&lt;$B$38,A51="",Inputs!J21="No",Method_Cetin=FALSE),NA(),EXP((D51-J51)/13.79))</f>
        <v>#N/A</v>
      </c>
      <c r="L51" s="87" t="e">
        <f>IF(OR(A51&lt;$B$38,A51="",Inputs!J21="No",Method_Cetin=FALSE),NA(),_xlfn.NORM.S.DIST(-(B51*(1+0.004*C51)-13.79*LN(M51)-29.06*LN($B$5)-3.82*LN(H18/101.325)+0.06*C51+15.25)/4.21,TRUE))</f>
        <v>#N/A</v>
      </c>
      <c r="M51" s="87" t="e">
        <f t="shared" si="35"/>
        <v>#N/A</v>
      </c>
      <c r="N51" s="86">
        <f t="shared" si="22"/>
        <v>6.8970953672722005E-2</v>
      </c>
      <c r="W51" s="30">
        <f t="shared" si="36"/>
        <v>1.6500000000000001</v>
      </c>
      <c r="X51" s="29">
        <f t="shared" si="37"/>
        <v>136.42138730399998</v>
      </c>
      <c r="Y51" s="29">
        <f t="shared" si="38"/>
        <v>0.86182100601954414</v>
      </c>
      <c r="Z51" s="29">
        <f t="shared" si="39"/>
        <v>1.422004659932248</v>
      </c>
      <c r="AA51" s="29">
        <f t="shared" si="23"/>
        <v>1.2833333333333334</v>
      </c>
      <c r="AB51" s="29">
        <f t="shared" si="24"/>
        <v>0.98285703457285678</v>
      </c>
      <c r="AC51" s="29">
        <f t="shared" si="25"/>
        <v>1</v>
      </c>
      <c r="AD51" s="29">
        <f t="shared" si="26"/>
        <v>1</v>
      </c>
      <c r="AE51" s="29">
        <f t="shared" si="27"/>
        <v>1.7936216801192344</v>
      </c>
      <c r="AG51" s="29">
        <f t="shared" si="27"/>
        <v>1.7936216801192344</v>
      </c>
      <c r="AO51" s="30">
        <f t="shared" si="41"/>
        <v>0.96928937315966979</v>
      </c>
      <c r="AQ51" s="22">
        <v>0.97</v>
      </c>
      <c r="AR51" s="22">
        <v>11</v>
      </c>
    </row>
    <row r="52" spans="1:44" x14ac:dyDescent="0.25">
      <c r="A52" s="105">
        <f t="shared" si="29"/>
        <v>13.715999999999999</v>
      </c>
      <c r="B52" s="35">
        <f t="shared" si="40"/>
        <v>1.7286856333565144</v>
      </c>
      <c r="C52" s="115">
        <f t="shared" si="30"/>
        <v>5</v>
      </c>
      <c r="D52" s="17">
        <f t="shared" si="21"/>
        <v>2.0632593460236448</v>
      </c>
      <c r="E52" s="17">
        <f t="shared" si="31"/>
        <v>3.1583896197234043</v>
      </c>
      <c r="F52" s="17">
        <f t="shared" si="32"/>
        <v>-4.3589457098823683</v>
      </c>
      <c r="G52" s="17">
        <f t="shared" si="33"/>
        <v>0.80352824302962655</v>
      </c>
      <c r="H52" s="118">
        <f t="shared" si="34"/>
        <v>-0.39702784712933747</v>
      </c>
      <c r="I52" s="227">
        <f>IF(Inputs!H22="",1,Inputs!H22)</f>
        <v>1</v>
      </c>
      <c r="J52" s="85">
        <f>IF(OR(A52&lt;$B$38,A52="",Inputs!J22="No",Method_Cetin=FALSE),NA(),MAX(1,$B$40+H52))</f>
        <v>48.692972152870666</v>
      </c>
      <c r="K52" s="46">
        <f>IF(OR(A52&lt;$B$38,A52="",Inputs!J22="No",Method_Cetin=FALSE),NA(),EXP((D52-J52)/13.79))</f>
        <v>3.399931176180504E-2</v>
      </c>
      <c r="L52" s="87">
        <f>IF(OR(A52&lt;$B$38,A52="",Inputs!J22="No",Method_Cetin=FALSE),NA(),_xlfn.NORM.S.DIST(-(B52*(1+0.004*C52)-13.79*LN(M52)-29.06*LN($B$5)-3.82*LN(H19/101.325)+0.06*C52+15.25)/4.21,TRUE))</f>
        <v>1</v>
      </c>
      <c r="M52" s="87">
        <f t="shared" si="35"/>
        <v>1.6999817010556288</v>
      </c>
      <c r="N52" s="86">
        <f t="shared" si="22"/>
        <v>5.7798207843553974E-2</v>
      </c>
      <c r="W52" s="30">
        <f t="shared" si="36"/>
        <v>1.6500000000000001</v>
      </c>
      <c r="X52" s="29">
        <f t="shared" si="37"/>
        <v>148.27265747999994</v>
      </c>
      <c r="Y52" s="29">
        <f t="shared" si="38"/>
        <v>0.82666161177225983</v>
      </c>
      <c r="Z52" s="29">
        <f t="shared" si="39"/>
        <v>1.3639916594242287</v>
      </c>
      <c r="AA52" s="29">
        <f t="shared" si="23"/>
        <v>1.2833333333333334</v>
      </c>
      <c r="AB52" s="29">
        <f t="shared" si="24"/>
        <v>0.98756305212338302</v>
      </c>
      <c r="AC52" s="29">
        <f t="shared" si="25"/>
        <v>1</v>
      </c>
      <c r="AD52" s="29">
        <f t="shared" si="26"/>
        <v>1</v>
      </c>
      <c r="AE52" s="29">
        <f t="shared" si="27"/>
        <v>1.7286856333565144</v>
      </c>
      <c r="AG52" s="29">
        <f t="shared" si="27"/>
        <v>1.7286856333565144</v>
      </c>
      <c r="AO52" s="30">
        <f t="shared" si="41"/>
        <v>0.97413296572536268</v>
      </c>
      <c r="AQ52" s="22">
        <v>0.97499999999999998</v>
      </c>
      <c r="AR52" s="22">
        <v>12</v>
      </c>
    </row>
    <row r="53" spans="1:44" x14ac:dyDescent="0.25">
      <c r="A53" s="105">
        <f t="shared" si="29"/>
        <v>15.6972</v>
      </c>
      <c r="B53" s="35">
        <f t="shared" si="40"/>
        <v>9.826321161529588</v>
      </c>
      <c r="C53" s="115">
        <f t="shared" si="30"/>
        <v>5</v>
      </c>
      <c r="D53" s="17">
        <f t="shared" si="21"/>
        <v>10.322847584760181</v>
      </c>
      <c r="E53" s="17">
        <f t="shared" si="31"/>
        <v>3.6737814140990004</v>
      </c>
      <c r="F53" s="17">
        <f t="shared" si="32"/>
        <v>-5.3029027710558241</v>
      </c>
      <c r="G53" s="17">
        <f t="shared" si="33"/>
        <v>0.80352824302962655</v>
      </c>
      <c r="H53" s="118">
        <f t="shared" si="34"/>
        <v>-0.82559311392719714</v>
      </c>
      <c r="I53" s="227">
        <f>IF(Inputs!H23="",1,Inputs!H23)</f>
        <v>1</v>
      </c>
      <c r="J53" s="85">
        <f>IF(OR(A53&lt;$B$38,A53="",Inputs!J23="No",Method_Cetin=FALSE),NA(),MAX(1,$B$40+H53))</f>
        <v>48.264406886072805</v>
      </c>
      <c r="K53" s="46">
        <f>IF(OR(A53&lt;$B$38,A53="",Inputs!J23="No",Method_Cetin=FALSE),NA(),EXP((D53-J53)/13.79))</f>
        <v>6.3839566880304122E-2</v>
      </c>
      <c r="L53" s="87">
        <f>IF(OR(A53&lt;$B$38,A53="",Inputs!J23="No",Method_Cetin=FALSE),NA(),_xlfn.NORM.S.DIST(-(B53*(1+0.004*C53)-13.79*LN(M53)-29.06*LN($B$5)-3.82*LN(H20/101.325)+0.06*C53+15.25)/4.21,TRUE))</f>
        <v>1</v>
      </c>
      <c r="M53" s="87">
        <f t="shared" si="35"/>
        <v>1.5875075349827623</v>
      </c>
      <c r="N53" s="86">
        <f t="shared" si="22"/>
        <v>0.10134579345251878</v>
      </c>
      <c r="W53" s="30">
        <f t="shared" si="36"/>
        <v>9.9</v>
      </c>
      <c r="X53" s="29">
        <f t="shared" si="37"/>
        <v>167.53097151599999</v>
      </c>
      <c r="Y53" s="29">
        <f t="shared" si="38"/>
        <v>0.7776975892625777</v>
      </c>
      <c r="Z53" s="29">
        <f t="shared" si="39"/>
        <v>7.6992061336995192</v>
      </c>
      <c r="AA53" s="29">
        <f t="shared" si="23"/>
        <v>1.2833333333333334</v>
      </c>
      <c r="AB53" s="29">
        <f t="shared" si="24"/>
        <v>0.99450170568189988</v>
      </c>
      <c r="AC53" s="29">
        <f t="shared" si="25"/>
        <v>1</v>
      </c>
      <c r="AD53" s="29">
        <f t="shared" si="26"/>
        <v>1</v>
      </c>
      <c r="AE53" s="29">
        <f t="shared" si="27"/>
        <v>9.826321161529588</v>
      </c>
      <c r="AG53" s="29">
        <f t="shared" si="27"/>
        <v>9.826321161529588</v>
      </c>
      <c r="AO53" s="30">
        <f t="shared" si="41"/>
        <v>0.97861000975841117</v>
      </c>
      <c r="AQ53" s="22">
        <v>0.98</v>
      </c>
      <c r="AR53" s="22">
        <v>13</v>
      </c>
    </row>
    <row r="54" spans="1:44" x14ac:dyDescent="0.25">
      <c r="A54" s="105">
        <f t="shared" si="29"/>
        <v>17.3736</v>
      </c>
      <c r="B54" s="35">
        <f t="shared" si="40"/>
        <v>2.6196491173635703</v>
      </c>
      <c r="C54" s="115">
        <f t="shared" si="30"/>
        <v>5</v>
      </c>
      <c r="D54" s="17">
        <f t="shared" si="21"/>
        <v>2.9720420997108414</v>
      </c>
      <c r="E54" s="17">
        <f t="shared" si="31"/>
        <v>4.0613947519287645</v>
      </c>
      <c r="F54" s="17">
        <f t="shared" si="32"/>
        <v>-5.8261754125921614</v>
      </c>
      <c r="G54" s="17">
        <f t="shared" si="33"/>
        <v>0.80352824302962655</v>
      </c>
      <c r="H54" s="118">
        <f t="shared" si="34"/>
        <v>-0.96125241763377034</v>
      </c>
      <c r="I54" s="227">
        <f>IF(Inputs!H24="",1,Inputs!H24)</f>
        <v>1</v>
      </c>
      <c r="J54" s="85">
        <f>IF(OR(A54&lt;$B$38,A54="",Inputs!J24="No",Method_Cetin=FALSE),NA(),MAX(1,$B$40+H54))</f>
        <v>48.128747582366231</v>
      </c>
      <c r="K54" s="46">
        <f>IF(OR(A54&lt;$B$38,A54="",Inputs!J24="No",Method_Cetin=FALSE),NA(),EXP((D54-J54)/13.79))</f>
        <v>3.783207723839474E-2</v>
      </c>
      <c r="L54" s="87">
        <f>IF(OR(A54&lt;$B$38,A54="",Inputs!J24="No",Method_Cetin=FALSE),NA(),_xlfn.NORM.S.DIST(-(B54*(1+0.004*C54)-13.79*LN(M54)-29.06*LN($B$5)-3.82*LN(H21/101.325)+0.06*C54+15.25)/4.21,TRUE))</f>
        <v>1</v>
      </c>
      <c r="M54" s="87">
        <f t="shared" si="35"/>
        <v>1.5283968779578039</v>
      </c>
      <c r="N54" s="86">
        <f t="shared" si="22"/>
        <v>5.7822428737821022E-2</v>
      </c>
      <c r="W54" s="30">
        <f t="shared" si="36"/>
        <v>2.75</v>
      </c>
      <c r="X54" s="29">
        <f t="shared" si="37"/>
        <v>183.82646800800001</v>
      </c>
      <c r="Y54" s="29">
        <f t="shared" si="38"/>
        <v>0.74242790124690194</v>
      </c>
      <c r="Z54" s="29">
        <f t="shared" si="39"/>
        <v>2.0416767284289805</v>
      </c>
      <c r="AA54" s="29">
        <f t="shared" si="23"/>
        <v>1.2833333333333334</v>
      </c>
      <c r="AB54" s="29">
        <f t="shared" si="24"/>
        <v>0.99980814694782039</v>
      </c>
      <c r="AC54" s="29">
        <f t="shared" si="25"/>
        <v>1</v>
      </c>
      <c r="AD54" s="29">
        <f t="shared" si="26"/>
        <v>1</v>
      </c>
      <c r="AE54" s="29">
        <f t="shared" si="27"/>
        <v>2.6196491173635703</v>
      </c>
      <c r="AG54" s="29">
        <f t="shared" si="27"/>
        <v>2.6196491173635703</v>
      </c>
      <c r="AO54" s="30">
        <f t="shared" si="41"/>
        <v>0.98277344732440974</v>
      </c>
      <c r="AQ54" s="22">
        <v>0.98399999999999999</v>
      </c>
      <c r="AR54" s="22">
        <v>14</v>
      </c>
    </row>
    <row r="55" spans="1:44" x14ac:dyDescent="0.25">
      <c r="A55" s="105" t="str">
        <f t="shared" si="29"/>
        <v/>
      </c>
      <c r="B55" s="35" t="str">
        <f t="shared" si="40"/>
        <v/>
      </c>
      <c r="C55" s="115" t="str">
        <f t="shared" si="30"/>
        <v/>
      </c>
      <c r="D55" s="17" t="e">
        <f t="shared" si="21"/>
        <v>#N/A</v>
      </c>
      <c r="E55" s="17" t="str">
        <f t="shared" si="31"/>
        <v/>
      </c>
      <c r="F55" s="17" t="str">
        <f t="shared" si="32"/>
        <v/>
      </c>
      <c r="G55" s="17" t="str">
        <f t="shared" si="33"/>
        <v/>
      </c>
      <c r="H55" s="118" t="str">
        <f t="shared" si="34"/>
        <v/>
      </c>
      <c r="I55" s="227">
        <f>IF(Inputs!H25="",1,Inputs!H25)</f>
        <v>1</v>
      </c>
      <c r="J55" s="85" t="e">
        <f>IF(OR(A55&lt;$B$38,A55="",Inputs!J25="No",Method_Cetin=FALSE),NA(),MAX(1,$B$40+H55))</f>
        <v>#N/A</v>
      </c>
      <c r="K55" s="46" t="e">
        <f>IF(OR(A55&lt;$B$38,A55="",Inputs!J25="No",Method_Cetin=FALSE),NA(),EXP((D55-J55)/13.79))</f>
        <v>#N/A</v>
      </c>
      <c r="L55" s="87" t="e">
        <f>IF(OR(A55&lt;$B$38,A55="",Inputs!J25="No",Method_Cetin=FALSE),NA(),_xlfn.NORM.S.DIST(-(B55*(1+0.004*C55)-13.79*LN(M55)-29.06*LN($B$5)-3.82*LN(H22/101.325)+0.06*C55+15.25)/4.21,TRUE))</f>
        <v>#N/A</v>
      </c>
      <c r="M55" s="87" t="e">
        <f t="shared" si="35"/>
        <v>#N/A</v>
      </c>
      <c r="N55" s="86" t="e">
        <f t="shared" si="22"/>
        <v>#N/A</v>
      </c>
      <c r="W55" s="30" t="str">
        <f t="shared" si="36"/>
        <v/>
      </c>
      <c r="X55" s="29" t="str">
        <f t="shared" si="37"/>
        <v/>
      </c>
      <c r="Y55" s="29" t="str">
        <f t="shared" si="38"/>
        <v/>
      </c>
      <c r="Z55" s="29" t="str">
        <f t="shared" si="39"/>
        <v/>
      </c>
      <c r="AA55" s="29" t="str">
        <f t="shared" si="23"/>
        <v/>
      </c>
      <c r="AB55" s="29" t="str">
        <f t="shared" si="24"/>
        <v/>
      </c>
      <c r="AC55" s="29" t="str">
        <f t="shared" si="25"/>
        <v/>
      </c>
      <c r="AD55" s="29" t="str">
        <f t="shared" si="26"/>
        <v/>
      </c>
      <c r="AE55" s="29" t="str">
        <f t="shared" si="27"/>
        <v/>
      </c>
      <c r="AG55" s="29" t="str">
        <f t="shared" si="27"/>
        <v/>
      </c>
      <c r="AO55" s="30">
        <f t="shared" si="41"/>
        <v>0.98666543480189284</v>
      </c>
      <c r="AQ55" s="22">
        <v>0.98599999999999999</v>
      </c>
      <c r="AR55" s="22">
        <v>15</v>
      </c>
    </row>
    <row r="56" spans="1:44" x14ac:dyDescent="0.25">
      <c r="A56" s="105" t="str">
        <f t="shared" si="29"/>
        <v/>
      </c>
      <c r="B56" s="35" t="str">
        <f t="shared" si="40"/>
        <v/>
      </c>
      <c r="C56" s="115" t="str">
        <f t="shared" si="30"/>
        <v/>
      </c>
      <c r="D56" s="17" t="e">
        <f t="shared" si="21"/>
        <v>#N/A</v>
      </c>
      <c r="E56" s="17" t="str">
        <f t="shared" si="31"/>
        <v/>
      </c>
      <c r="F56" s="17" t="str">
        <f t="shared" si="32"/>
        <v/>
      </c>
      <c r="G56" s="17" t="str">
        <f t="shared" si="33"/>
        <v/>
      </c>
      <c r="H56" s="118" t="str">
        <f t="shared" si="34"/>
        <v/>
      </c>
      <c r="I56" s="227">
        <f>IF(Inputs!H26="",1,Inputs!H26)</f>
        <v>1</v>
      </c>
      <c r="J56" s="85" t="e">
        <f>IF(OR(A56&lt;$B$38,A56="",Inputs!J26="No",Method_Cetin=FALSE),NA(),MAX(1,$B$40+H56))</f>
        <v>#N/A</v>
      </c>
      <c r="K56" s="46" t="e">
        <f>IF(OR(A56&lt;$B$38,A56="",Inputs!J26="No",Method_Cetin=FALSE),NA(),EXP((D56-J56)/13.79))</f>
        <v>#N/A</v>
      </c>
      <c r="L56" s="87" t="e">
        <f>IF(OR(A56&lt;$B$38,A56="",Inputs!J26="No",Method_Cetin=FALSE),NA(),_xlfn.NORM.S.DIST(-(B56*(1+0.004*C56)-13.79*LN(M56)-29.06*LN($B$5)-3.82*LN(H23/101.325)+0.06*C56+15.25)/4.21,TRUE))</f>
        <v>#N/A</v>
      </c>
      <c r="M56" s="87" t="e">
        <f t="shared" si="35"/>
        <v>#N/A</v>
      </c>
      <c r="N56" s="86" t="e">
        <f t="shared" si="22"/>
        <v>#N/A</v>
      </c>
      <c r="W56" s="30" t="str">
        <f t="shared" si="36"/>
        <v/>
      </c>
      <c r="X56" s="29" t="str">
        <f t="shared" si="37"/>
        <v/>
      </c>
      <c r="Y56" s="29" t="str">
        <f t="shared" si="38"/>
        <v/>
      </c>
      <c r="Z56" s="29" t="str">
        <f t="shared" si="39"/>
        <v/>
      </c>
      <c r="AA56" s="29" t="str">
        <f t="shared" si="23"/>
        <v/>
      </c>
      <c r="AB56" s="29" t="str">
        <f t="shared" si="24"/>
        <v/>
      </c>
      <c r="AC56" s="29" t="str">
        <f t="shared" si="25"/>
        <v/>
      </c>
      <c r="AD56" s="29" t="str">
        <f t="shared" si="26"/>
        <v/>
      </c>
      <c r="AE56" s="29" t="str">
        <f t="shared" si="27"/>
        <v/>
      </c>
      <c r="AG56" s="29" t="str">
        <f t="shared" si="27"/>
        <v/>
      </c>
      <c r="AO56" s="30">
        <f t="shared" si="41"/>
        <v>0.99032009730220838</v>
      </c>
      <c r="AQ56" s="22">
        <v>0.98799999999999999</v>
      </c>
      <c r="AR56" s="22">
        <v>16</v>
      </c>
    </row>
    <row r="57" spans="1:44" x14ac:dyDescent="0.25">
      <c r="A57" s="105" t="str">
        <f t="shared" si="29"/>
        <v/>
      </c>
      <c r="B57" s="35" t="str">
        <f t="shared" si="40"/>
        <v/>
      </c>
      <c r="C57" s="115" t="str">
        <f t="shared" si="30"/>
        <v/>
      </c>
      <c r="D57" s="17" t="e">
        <f t="shared" si="21"/>
        <v>#N/A</v>
      </c>
      <c r="E57" s="17" t="str">
        <f t="shared" si="31"/>
        <v/>
      </c>
      <c r="F57" s="17" t="str">
        <f t="shared" si="32"/>
        <v/>
      </c>
      <c r="G57" s="17" t="str">
        <f t="shared" si="33"/>
        <v/>
      </c>
      <c r="H57" s="118" t="str">
        <f t="shared" si="34"/>
        <v/>
      </c>
      <c r="I57" s="227">
        <f>IF(Inputs!H27="",1,Inputs!H27)</f>
        <v>1</v>
      </c>
      <c r="J57" s="85" t="e">
        <f>IF(OR(A57&lt;$B$38,A57="",Inputs!J27="No",Method_Cetin=FALSE),NA(),MAX(1,$B$40+H57))</f>
        <v>#N/A</v>
      </c>
      <c r="K57" s="46" t="e">
        <f>IF(OR(A57&lt;$B$38,A57="",Inputs!J27="No",Method_Cetin=FALSE),NA(),EXP((D57-J57)/13.79))</f>
        <v>#N/A</v>
      </c>
      <c r="L57" s="87" t="e">
        <f>IF(OR(A57&lt;$B$38,A57="",Inputs!J27="No",Method_Cetin=FALSE),NA(),_xlfn.NORM.S.DIST(-(B57*(1+0.004*C57)-13.79*LN(M57)-29.06*LN($B$5)-3.82*LN(H24/101.325)+0.06*C57+15.25)/4.21,TRUE))</f>
        <v>#N/A</v>
      </c>
      <c r="M57" s="87" t="e">
        <f t="shared" si="35"/>
        <v>#N/A</v>
      </c>
      <c r="N57" s="86" t="e">
        <f t="shared" si="22"/>
        <v>#N/A</v>
      </c>
      <c r="W57" s="30" t="str">
        <f t="shared" si="36"/>
        <v/>
      </c>
      <c r="X57" s="29" t="str">
        <f t="shared" si="37"/>
        <v/>
      </c>
      <c r="Y57" s="29" t="str">
        <f t="shared" si="38"/>
        <v/>
      </c>
      <c r="Z57" s="29" t="str">
        <f t="shared" si="39"/>
        <v/>
      </c>
      <c r="AA57" s="29" t="str">
        <f t="shared" si="23"/>
        <v/>
      </c>
      <c r="AB57" s="29" t="str">
        <f t="shared" si="24"/>
        <v/>
      </c>
      <c r="AC57" s="29" t="str">
        <f t="shared" si="25"/>
        <v/>
      </c>
      <c r="AD57" s="29" t="str">
        <f t="shared" si="26"/>
        <v/>
      </c>
      <c r="AE57" s="29" t="str">
        <f t="shared" si="27"/>
        <v/>
      </c>
      <c r="AG57" s="29" t="str">
        <f t="shared" si="27"/>
        <v/>
      </c>
      <c r="AO57" s="30">
        <v>1</v>
      </c>
      <c r="AP57" s="22"/>
      <c r="AQ57" s="22">
        <v>1</v>
      </c>
      <c r="AR57" s="22">
        <v>20</v>
      </c>
    </row>
    <row r="58" spans="1:44" x14ac:dyDescent="0.25">
      <c r="A58" s="105" t="str">
        <f t="shared" si="29"/>
        <v/>
      </c>
      <c r="B58" s="35" t="str">
        <f t="shared" si="40"/>
        <v/>
      </c>
      <c r="C58" s="115" t="str">
        <f t="shared" si="30"/>
        <v/>
      </c>
      <c r="D58" s="17" t="e">
        <f t="shared" si="21"/>
        <v>#N/A</v>
      </c>
      <c r="E58" s="17" t="str">
        <f t="shared" si="31"/>
        <v/>
      </c>
      <c r="F58" s="17" t="str">
        <f t="shared" si="32"/>
        <v/>
      </c>
      <c r="G58" s="17" t="str">
        <f t="shared" si="33"/>
        <v/>
      </c>
      <c r="H58" s="118" t="str">
        <f t="shared" si="34"/>
        <v/>
      </c>
      <c r="I58" s="227">
        <f>IF(Inputs!H28="",1,Inputs!H28)</f>
        <v>1</v>
      </c>
      <c r="J58" s="85" t="e">
        <f>IF(OR(A58&lt;$B$38,A58="",Inputs!J28="No",Method_Cetin=FALSE),NA(),MAX(1,$B$40+H58))</f>
        <v>#N/A</v>
      </c>
      <c r="K58" s="46" t="e">
        <f>IF(OR(A58&lt;$B$38,A58="",Inputs!J28="No",Method_Cetin=FALSE),NA(),EXP((D58-J58)/13.79))</f>
        <v>#N/A</v>
      </c>
      <c r="L58" s="87" t="e">
        <f>IF(OR(A58&lt;$B$38,A58="",Inputs!J28="No",Method_Cetin=FALSE),NA(),_xlfn.NORM.S.DIST(-(B58*(1+0.004*C58)-13.79*LN(M58)-29.06*LN($B$5)-3.82*LN(H25/101.325)+0.06*C58+15.25)/4.21,TRUE))</f>
        <v>#N/A</v>
      </c>
      <c r="M58" s="87" t="e">
        <f t="shared" si="35"/>
        <v>#N/A</v>
      </c>
      <c r="N58" s="86" t="e">
        <f t="shared" si="22"/>
        <v>#N/A</v>
      </c>
      <c r="W58" s="30" t="str">
        <f t="shared" si="36"/>
        <v/>
      </c>
      <c r="X58" s="29" t="str">
        <f t="shared" si="37"/>
        <v/>
      </c>
      <c r="Y58" s="29" t="str">
        <f t="shared" si="38"/>
        <v/>
      </c>
      <c r="Z58" s="29" t="str">
        <f t="shared" si="39"/>
        <v/>
      </c>
      <c r="AA58" s="29" t="str">
        <f t="shared" si="23"/>
        <v/>
      </c>
      <c r="AB58" s="29" t="str">
        <f t="shared" si="24"/>
        <v/>
      </c>
      <c r="AC58" s="29" t="str">
        <f t="shared" si="25"/>
        <v/>
      </c>
      <c r="AD58" s="29" t="str">
        <f t="shared" si="26"/>
        <v/>
      </c>
      <c r="AE58" s="29" t="str">
        <f t="shared" si="27"/>
        <v/>
      </c>
      <c r="AG58" s="29" t="str">
        <f t="shared" si="27"/>
        <v/>
      </c>
      <c r="AO58" s="30">
        <v>1</v>
      </c>
      <c r="AP58" s="22"/>
      <c r="AQ58" s="22">
        <v>1</v>
      </c>
      <c r="AR58" s="22">
        <v>25</v>
      </c>
    </row>
    <row r="59" spans="1:44" x14ac:dyDescent="0.25">
      <c r="A59" s="105" t="str">
        <f t="shared" si="29"/>
        <v/>
      </c>
      <c r="B59" s="35" t="str">
        <f t="shared" si="40"/>
        <v/>
      </c>
      <c r="C59" s="115" t="str">
        <f t="shared" si="30"/>
        <v/>
      </c>
      <c r="D59" s="17" t="e">
        <f t="shared" si="21"/>
        <v>#N/A</v>
      </c>
      <c r="E59" s="17" t="str">
        <f t="shared" si="31"/>
        <v/>
      </c>
      <c r="F59" s="17" t="str">
        <f t="shared" si="32"/>
        <v/>
      </c>
      <c r="G59" s="17" t="str">
        <f t="shared" si="33"/>
        <v/>
      </c>
      <c r="H59" s="118" t="str">
        <f t="shared" si="34"/>
        <v/>
      </c>
      <c r="I59" s="227">
        <f>IF(Inputs!H29="",1,Inputs!H29)</f>
        <v>1</v>
      </c>
      <c r="J59" s="85" t="e">
        <f>IF(OR(A59&lt;$B$38,A59="",Inputs!J29="No",Method_Cetin=FALSE),NA(),MAX(1,$B$40+H59))</f>
        <v>#N/A</v>
      </c>
      <c r="K59" s="46" t="e">
        <f>IF(OR(A59&lt;$B$38,A59="",Inputs!J29="No",Method_Cetin=FALSE),NA(),EXP((D59-J59)/13.79))</f>
        <v>#N/A</v>
      </c>
      <c r="L59" s="87" t="e">
        <f>IF(OR(A59&lt;$B$38,A59="",Inputs!J29="No",Method_Cetin=FALSE),NA(),_xlfn.NORM.S.DIST(-(B59*(1+0.004*C59)-13.79*LN(M59)-29.06*LN($B$5)-3.82*LN(H26/101.325)+0.06*C59+15.25)/4.21,TRUE))</f>
        <v>#N/A</v>
      </c>
      <c r="M59" s="87" t="e">
        <f t="shared" si="35"/>
        <v>#N/A</v>
      </c>
      <c r="N59" s="86" t="e">
        <f t="shared" si="22"/>
        <v>#N/A</v>
      </c>
      <c r="W59" s="30" t="str">
        <f t="shared" si="36"/>
        <v/>
      </c>
      <c r="X59" s="29" t="str">
        <f t="shared" si="37"/>
        <v/>
      </c>
      <c r="Y59" s="29" t="str">
        <f t="shared" si="38"/>
        <v/>
      </c>
      <c r="Z59" s="29" t="str">
        <f t="shared" si="39"/>
        <v/>
      </c>
      <c r="AA59" s="29" t="str">
        <f t="shared" si="23"/>
        <v/>
      </c>
      <c r="AB59" s="29" t="str">
        <f t="shared" si="24"/>
        <v/>
      </c>
      <c r="AC59" s="29" t="str">
        <f t="shared" si="25"/>
        <v/>
      </c>
      <c r="AD59" s="29" t="str">
        <f t="shared" si="26"/>
        <v/>
      </c>
      <c r="AE59" s="29" t="str">
        <f t="shared" si="27"/>
        <v/>
      </c>
      <c r="AG59" s="29" t="str">
        <f t="shared" si="27"/>
        <v/>
      </c>
      <c r="AO59" s="30">
        <v>1</v>
      </c>
      <c r="AP59" s="22"/>
      <c r="AQ59" s="22">
        <v>1</v>
      </c>
      <c r="AR59" s="22">
        <v>30</v>
      </c>
    </row>
    <row r="60" spans="1:44" x14ac:dyDescent="0.25">
      <c r="A60" s="105" t="str">
        <f t="shared" si="29"/>
        <v/>
      </c>
      <c r="B60" s="35" t="str">
        <f t="shared" si="40"/>
        <v/>
      </c>
      <c r="C60" s="115" t="str">
        <f t="shared" si="30"/>
        <v/>
      </c>
      <c r="D60" s="17" t="e">
        <f t="shared" si="21"/>
        <v>#N/A</v>
      </c>
      <c r="E60" s="17" t="str">
        <f t="shared" si="31"/>
        <v/>
      </c>
      <c r="F60" s="17" t="str">
        <f t="shared" si="32"/>
        <v/>
      </c>
      <c r="G60" s="17" t="str">
        <f t="shared" si="33"/>
        <v/>
      </c>
      <c r="H60" s="118" t="str">
        <f t="shared" si="34"/>
        <v/>
      </c>
      <c r="I60" s="227">
        <f>IF(Inputs!H30="",1,Inputs!H30)</f>
        <v>1</v>
      </c>
      <c r="J60" s="85" t="e">
        <f>IF(OR(A60&lt;$B$38,A60="",Inputs!J30="No",Method_Cetin=FALSE),NA(),MAX(1,$B$40+H60))</f>
        <v>#N/A</v>
      </c>
      <c r="K60" s="46" t="e">
        <f>IF(OR(A60&lt;$B$38,A60="",Inputs!J30="No",Method_Cetin=FALSE),NA(),EXP((D60-J60)/13.79))</f>
        <v>#N/A</v>
      </c>
      <c r="L60" s="87" t="e">
        <f>IF(OR(A60&lt;$B$38,A60="",Inputs!J30="No",Method_Cetin=FALSE),NA(),_xlfn.NORM.S.DIST(-(B60*(1+0.004*C60)-13.79*LN(M60)-29.06*LN($B$5)-3.82*LN(H27/101.325)+0.06*C60+15.25)/4.21,TRUE))</f>
        <v>#N/A</v>
      </c>
      <c r="M60" s="87" t="e">
        <f t="shared" si="35"/>
        <v>#N/A</v>
      </c>
      <c r="N60" s="86" t="e">
        <f t="shared" si="22"/>
        <v>#N/A</v>
      </c>
      <c r="W60" s="30" t="str">
        <f t="shared" si="36"/>
        <v/>
      </c>
      <c r="X60" s="29" t="str">
        <f t="shared" si="37"/>
        <v/>
      </c>
      <c r="Y60" s="29" t="str">
        <f t="shared" si="38"/>
        <v/>
      </c>
      <c r="Z60" s="29" t="str">
        <f t="shared" si="39"/>
        <v/>
      </c>
      <c r="AA60" s="29" t="str">
        <f t="shared" si="23"/>
        <v/>
      </c>
      <c r="AB60" s="29" t="str">
        <f t="shared" si="24"/>
        <v/>
      </c>
      <c r="AC60" s="29" t="str">
        <f t="shared" si="25"/>
        <v/>
      </c>
      <c r="AD60" s="29" t="str">
        <f t="shared" si="26"/>
        <v/>
      </c>
      <c r="AE60" s="29" t="str">
        <f t="shared" si="27"/>
        <v/>
      </c>
      <c r="AG60" s="29" t="str">
        <f t="shared" si="27"/>
        <v/>
      </c>
      <c r="AO60" s="28"/>
      <c r="AP60" s="28"/>
    </row>
    <row r="61" spans="1:44" x14ac:dyDescent="0.25">
      <c r="A61" s="105" t="str">
        <f t="shared" si="29"/>
        <v/>
      </c>
      <c r="B61" s="35" t="str">
        <f t="shared" si="40"/>
        <v/>
      </c>
      <c r="C61" s="115" t="str">
        <f t="shared" si="30"/>
        <v/>
      </c>
      <c r="D61" s="17" t="e">
        <f t="shared" si="21"/>
        <v>#N/A</v>
      </c>
      <c r="E61" s="17" t="str">
        <f t="shared" si="31"/>
        <v/>
      </c>
      <c r="F61" s="17" t="str">
        <f t="shared" si="32"/>
        <v/>
      </c>
      <c r="G61" s="17" t="str">
        <f t="shared" si="33"/>
        <v/>
      </c>
      <c r="H61" s="118" t="str">
        <f t="shared" si="34"/>
        <v/>
      </c>
      <c r="I61" s="227">
        <f>IF(Inputs!H31="",1,Inputs!H31)</f>
        <v>1</v>
      </c>
      <c r="J61" s="85" t="e">
        <f>IF(OR(A61&lt;$B$38,A61="",Inputs!J31="No",Method_Cetin=FALSE),NA(),MAX(1,$B$40+H61))</f>
        <v>#N/A</v>
      </c>
      <c r="K61" s="46" t="e">
        <f>IF(OR(A61&lt;$B$38,A61="",Inputs!J31="No",Method_Cetin=FALSE),NA(),EXP((D61-J61)/13.79))</f>
        <v>#N/A</v>
      </c>
      <c r="L61" s="87" t="e">
        <f>IF(OR(A61&lt;$B$38,A61="",Inputs!J31="No",Method_Cetin=FALSE),NA(),_xlfn.NORM.S.DIST(-(B61*(1+0.004*C61)-13.79*LN(M61)-29.06*LN($B$5)-3.82*LN(H28/101.325)+0.06*C61+15.25)/4.21,TRUE))</f>
        <v>#N/A</v>
      </c>
      <c r="M61" s="87" t="e">
        <f t="shared" si="35"/>
        <v>#N/A</v>
      </c>
      <c r="N61" s="86" t="e">
        <f t="shared" si="22"/>
        <v>#N/A</v>
      </c>
      <c r="W61" s="30" t="str">
        <f t="shared" si="36"/>
        <v/>
      </c>
      <c r="X61" s="29" t="str">
        <f t="shared" si="37"/>
        <v/>
      </c>
      <c r="Y61" s="29" t="str">
        <f t="shared" si="38"/>
        <v/>
      </c>
      <c r="Z61" s="29" t="str">
        <f t="shared" si="39"/>
        <v/>
      </c>
      <c r="AA61" s="29" t="str">
        <f t="shared" si="23"/>
        <v/>
      </c>
      <c r="AB61" s="29" t="str">
        <f t="shared" si="24"/>
        <v/>
      </c>
      <c r="AC61" s="29" t="str">
        <f t="shared" si="25"/>
        <v/>
      </c>
      <c r="AD61" s="29" t="str">
        <f t="shared" si="26"/>
        <v/>
      </c>
      <c r="AE61" s="29" t="str">
        <f t="shared" si="27"/>
        <v/>
      </c>
      <c r="AG61" s="29" t="str">
        <f t="shared" si="27"/>
        <v/>
      </c>
    </row>
    <row r="62" spans="1:44" ht="16.5" thickBot="1" x14ac:dyDescent="0.3">
      <c r="A62" s="106" t="str">
        <f t="shared" si="29"/>
        <v/>
      </c>
      <c r="B62" s="45" t="str">
        <f t="shared" si="40"/>
        <v/>
      </c>
      <c r="C62" s="116" t="str">
        <f t="shared" si="30"/>
        <v/>
      </c>
      <c r="D62" s="20" t="e">
        <f t="shared" si="21"/>
        <v>#N/A</v>
      </c>
      <c r="E62" s="20" t="str">
        <f t="shared" si="31"/>
        <v/>
      </c>
      <c r="F62" s="20" t="str">
        <f t="shared" si="32"/>
        <v/>
      </c>
      <c r="G62" s="20" t="str">
        <f t="shared" si="33"/>
        <v/>
      </c>
      <c r="H62" s="119" t="str">
        <f t="shared" si="34"/>
        <v/>
      </c>
      <c r="I62" s="228">
        <f>IF(Inputs!H32="",1,Inputs!H32)</f>
        <v>1</v>
      </c>
      <c r="J62" s="85" t="e">
        <f>IF(OR(A62&lt;$B$38,A62="",Inputs!J32="No",Method_Cetin=FALSE),NA(),MAX(1,$B$40+H62))</f>
        <v>#N/A</v>
      </c>
      <c r="K62" s="121" t="e">
        <f>IF(OR(A62&lt;$B$38,A62="",Inputs!J32="No",Method_Cetin=FALSE),NA(),EXP((D62-J62)/13.79))</f>
        <v>#N/A</v>
      </c>
      <c r="L62" s="122" t="e">
        <f>IF(OR(A62&lt;$B$38,A62="",Inputs!J32="No",Method_Cetin=FALSE),NA(),_xlfn.NORM.S.DIST(-(B62*(1+0.004*C62)-13.79*LN(M62)-29.06*LN($B$5)-3.82*LN(H29/101.325)+0.06*C62+15.25)/4.21,TRUE))</f>
        <v>#N/A</v>
      </c>
      <c r="M62" s="122" t="e">
        <f t="shared" si="35"/>
        <v>#N/A</v>
      </c>
      <c r="N62" s="123" t="e">
        <f t="shared" si="22"/>
        <v>#N/A</v>
      </c>
      <c r="W62" s="30" t="str">
        <f t="shared" si="36"/>
        <v/>
      </c>
      <c r="X62" s="29" t="str">
        <f t="shared" si="37"/>
        <v/>
      </c>
      <c r="Y62" s="29" t="str">
        <f t="shared" si="38"/>
        <v/>
      </c>
      <c r="Z62" s="29" t="str">
        <f t="shared" si="39"/>
        <v/>
      </c>
      <c r="AA62" s="29" t="str">
        <f t="shared" si="23"/>
        <v/>
      </c>
      <c r="AB62" s="29" t="str">
        <f t="shared" si="24"/>
        <v/>
      </c>
      <c r="AC62" s="29" t="str">
        <f t="shared" si="25"/>
        <v/>
      </c>
      <c r="AD62" s="29" t="str">
        <f t="shared" si="26"/>
        <v/>
      </c>
      <c r="AE62" s="29" t="str">
        <f t="shared" si="27"/>
        <v/>
      </c>
      <c r="AG62" s="29" t="str">
        <f t="shared" si="27"/>
        <v/>
      </c>
    </row>
    <row r="63" spans="1:44" x14ac:dyDescent="0.25">
      <c r="AA63" s="29"/>
      <c r="AD63" s="30"/>
    </row>
    <row r="64" spans="1:44" x14ac:dyDescent="0.25">
      <c r="AA64" s="29"/>
    </row>
    <row r="65" spans="27:27" x14ac:dyDescent="0.25">
      <c r="AA65" s="29"/>
    </row>
  </sheetData>
  <sheetProtection password="C5B9" sheet="1" objects="1" scenarios="1"/>
  <mergeCells count="4">
    <mergeCell ref="AB1:AB3"/>
    <mergeCell ref="AE2:AE3"/>
    <mergeCell ref="U8:V8"/>
    <mergeCell ref="G8:H8"/>
  </mergeCells>
  <pageMargins left="0.7" right="0.7" top="0.75" bottom="0.75" header="0.3" footer="0.3"/>
  <pageSetup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theme="4" tint="0.79998168889431442"/>
  </sheetPr>
  <dimension ref="A1:AL62"/>
  <sheetViews>
    <sheetView zoomScale="85" zoomScaleNormal="85" workbookViewId="0"/>
  </sheetViews>
  <sheetFormatPr defaultRowHeight="15.75" x14ac:dyDescent="0.25"/>
  <cols>
    <col min="1" max="1" width="12.5" customWidth="1"/>
    <col min="5" max="5" width="11.375" bestFit="1" customWidth="1"/>
    <col min="12" max="12" width="9" customWidth="1"/>
    <col min="13" max="13" width="9.125" bestFit="1" customWidth="1"/>
  </cols>
  <sheetData>
    <row r="1" spans="1:22" x14ac:dyDescent="0.25">
      <c r="A1" s="2" t="s">
        <v>438</v>
      </c>
    </row>
    <row r="2" spans="1:22" ht="18.75" x14ac:dyDescent="0.35">
      <c r="A2" s="28" t="s">
        <v>21</v>
      </c>
      <c r="B2" s="5">
        <f>IF(PGA_det="",NA(),PGA_det)</f>
        <v>0.73</v>
      </c>
      <c r="C2" t="s">
        <v>22</v>
      </c>
      <c r="D2" t="s">
        <v>153</v>
      </c>
      <c r="E2" s="82">
        <f>B2*B3</f>
        <v>0.73</v>
      </c>
    </row>
    <row r="3" spans="1:22" ht="18" x14ac:dyDescent="0.35">
      <c r="A3" s="28" t="s">
        <v>49</v>
      </c>
      <c r="B3" s="5">
        <f>IF(Fpga_det="",NA(),Fpga_det)</f>
        <v>1</v>
      </c>
    </row>
    <row r="4" spans="1:22" x14ac:dyDescent="0.25">
      <c r="A4" s="28" t="s">
        <v>38</v>
      </c>
      <c r="B4" s="270">
        <f>'PB Liquefaction Initiation'!B4</f>
        <v>0</v>
      </c>
      <c r="C4" t="s">
        <v>23</v>
      </c>
    </row>
    <row r="5" spans="1:22" ht="18" x14ac:dyDescent="0.35">
      <c r="A5" s="28" t="s">
        <v>50</v>
      </c>
      <c r="B5" s="5">
        <f>IF(Mw_det="",NA(),Mw_det)</f>
        <v>6.8</v>
      </c>
    </row>
    <row r="6" spans="1:22" x14ac:dyDescent="0.25">
      <c r="A6" s="28"/>
      <c r="B6" s="5"/>
    </row>
    <row r="7" spans="1:22" ht="18" x14ac:dyDescent="0.35">
      <c r="A7" s="7" t="s">
        <v>25</v>
      </c>
      <c r="B7" s="5">
        <v>0.27700000000000002</v>
      </c>
    </row>
    <row r="8" spans="1:22" ht="16.5" thickBot="1" x14ac:dyDescent="0.3">
      <c r="U8" s="2" t="s">
        <v>433</v>
      </c>
      <c r="V8" s="520"/>
    </row>
    <row r="9" spans="1:22" ht="18.75" x14ac:dyDescent="0.35">
      <c r="A9" s="23" t="s">
        <v>9</v>
      </c>
      <c r="B9" s="24" t="s">
        <v>44</v>
      </c>
      <c r="C9" s="36" t="s">
        <v>39</v>
      </c>
      <c r="D9" s="24" t="s">
        <v>11</v>
      </c>
      <c r="E9" s="24" t="s">
        <v>12</v>
      </c>
      <c r="F9" s="24" t="s">
        <v>45</v>
      </c>
      <c r="G9" s="24" t="s">
        <v>46</v>
      </c>
      <c r="H9" s="24" t="s">
        <v>47</v>
      </c>
      <c r="I9" s="88" t="s">
        <v>155</v>
      </c>
      <c r="J9" s="88" t="s">
        <v>156</v>
      </c>
      <c r="K9" s="83" t="s">
        <v>152</v>
      </c>
      <c r="L9" s="4" t="s">
        <v>154</v>
      </c>
      <c r="M9" s="83" t="s">
        <v>161</v>
      </c>
      <c r="N9" s="4" t="s">
        <v>162</v>
      </c>
      <c r="O9" s="24" t="s">
        <v>210</v>
      </c>
      <c r="P9" s="25" t="s">
        <v>30</v>
      </c>
      <c r="Q9" s="12" t="s">
        <v>29</v>
      </c>
      <c r="R9" s="136" t="s">
        <v>31</v>
      </c>
      <c r="S9" s="137" t="s">
        <v>91</v>
      </c>
      <c r="T9" s="138" t="s">
        <v>142</v>
      </c>
      <c r="U9" s="520" t="s">
        <v>434</v>
      </c>
    </row>
    <row r="10" spans="1:22" x14ac:dyDescent="0.25">
      <c r="A10" s="104">
        <f>IF('PB Liquefaction Initiation'!A10="","",'PB Liquefaction Initiation'!A10)</f>
        <v>0.4572</v>
      </c>
      <c r="B10" s="96">
        <f ca="1">'PB Liquefaction Initiation'!B10</f>
        <v>32.725000000000009</v>
      </c>
      <c r="C10" s="96">
        <f>IF('PB Liquefaction Initiation'!C10="","",'PB Liquefaction Initiation'!C10)</f>
        <v>19.527529999999999</v>
      </c>
      <c r="D10" s="110">
        <f>IF('PB Liquefaction Initiation'!D10="","",'PB Liquefaction Initiation'!D10)</f>
        <v>10</v>
      </c>
      <c r="E10" s="107">
        <f>IF('PB Liquefaction Initiation'!E10="","",'PB Liquefaction Initiation'!E10)</f>
        <v>0.91439999999999999</v>
      </c>
      <c r="F10" s="89">
        <f ca="1">IF(OR('PB Liquefaction Initiation'!F10="",Method_BI=FALSE),NA(),'PB Liquefaction Initiation'!F10)</f>
        <v>33.874185446686866</v>
      </c>
      <c r="G10" s="90">
        <f>IF('PB Liquefaction Initiation'!G10="","",'PB Liquefaction Initiation'!G10)</f>
        <v>8.9279867159999995</v>
      </c>
      <c r="H10" s="90">
        <f>IF('PB Liquefaction Initiation'!H10="","",'PB Liquefaction Initiation'!H10)</f>
        <v>4.4442263159999991</v>
      </c>
      <c r="I10" s="91">
        <f>IF(OR(A10&lt;$B$4,A10=""),"",-1.012-1.126*SIN(A10/11.73+5.133))</f>
        <v>-2.8390214252640433E-3</v>
      </c>
      <c r="J10" s="91">
        <f>IF(OR(A10&lt;$B$4,A10=""),"",0.106+0.118*SIN(A10/11.28+5.142))</f>
        <v>8.0258157090774829E-4</v>
      </c>
      <c r="K10" s="91">
        <f>IF(OR(A10&lt;$B$4,A10=""),"",EXP(I10+J10*$B$5))</f>
        <v>1.0026219646095007</v>
      </c>
      <c r="L10" s="91">
        <f t="shared" ref="L10:L29" ca="1" si="0">IF(OR(A10&lt;$B$4,A10=""),"",IF(IB_MSF=2014,1+(U10-1)*(8.64*EXP(-Mw_det/4)-1.325),MIN(1.8,6.9*EXP(-$B$5/4)-0.058)))</f>
        <v>1.304062777378753</v>
      </c>
      <c r="M10" s="91">
        <f ca="1">IF(OR(A10&lt;$B$4,A10=""),"",MIN(0.3,1/(18.9-2.55*SQRT(F10))))</f>
        <v>0.24638984283442145</v>
      </c>
      <c r="N10" s="91">
        <f ca="1">IF(OR(A10&lt;$B$4,A10=""),"",1-M10*LN(H10/101.325))</f>
        <v>1.7703938667195627</v>
      </c>
      <c r="O10" s="226">
        <f>IF(Inputs!H13="",1,Inputs!H13)</f>
        <v>1</v>
      </c>
      <c r="P10" s="85">
        <v>30.872833251953125</v>
      </c>
      <c r="Q10" s="19">
        <f t="shared" ref="Q10:Q29" ca="1" si="1">IF(OR(A10="",A10&lt;$B$4,Method_BI=FALSE),NA(),T10/S10)</f>
        <v>1.8540697745700523</v>
      </c>
      <c r="R10" s="19">
        <f t="shared" ref="R10:R29" ca="1" si="2">IF(OR(A10&lt;$B$4,A10="",Method_BI=FALSE),NA(),_xlfn.NORM.S.DIST(-(LN(T10)-LN(S10))/0.277,TRUE))</f>
        <v>1.2912946515657218E-2</v>
      </c>
      <c r="S10" s="87">
        <f ca="1">IF(OR(A10&lt;$B$4,A10="",Inputs!J13="No",Method_BI=FALSE),NA(),0.65*($B$2*$B$3)*G10/H10*K10/L10/N10)</f>
        <v>0.41396383811397325</v>
      </c>
      <c r="T10" s="86">
        <f t="shared" ref="T10:T29" ca="1" si="3">IF(OR(A10="",Method_BI=FALSE),NA(),O10*EXP(F10/14.1+(F10/126)^2-(F10/23.6)^3+(F10/25.4)^4-2.67+0.277*_xlfn.NORM.S.INV(1-Percentile_Liq/100)))</f>
        <v>0.76751784001212797</v>
      </c>
      <c r="U10">
        <f ca="1">MIN(2.2,1.09+((F10/31.5)^2))</f>
        <v>2.2000000000000002</v>
      </c>
    </row>
    <row r="11" spans="1:22" x14ac:dyDescent="0.25">
      <c r="A11" s="105">
        <f>IF('PB Liquefaction Initiation'!A11="","",'PB Liquefaction Initiation'!A11)</f>
        <v>1.6763999999999999</v>
      </c>
      <c r="B11" s="35">
        <f ca="1">'PB Liquefaction Initiation'!B11</f>
        <v>10.751253333333334</v>
      </c>
      <c r="C11" s="35">
        <f>IF('PB Liquefaction Initiation'!C11="","",'PB Liquefaction Initiation'!C11)</f>
        <v>19.527529999999999</v>
      </c>
      <c r="D11" s="10">
        <f>IF('PB Liquefaction Initiation'!D11="","",'PB Liquefaction Initiation'!D11)</f>
        <v>10</v>
      </c>
      <c r="E11" s="108">
        <f>IF('PB Liquefaction Initiation'!E11="","",'PB Liquefaction Initiation'!E11)</f>
        <v>1.524</v>
      </c>
      <c r="F11" s="92">
        <f ca="1">IF(OR('PB Liquefaction Initiation'!F11="",Method_BI=FALSE),NA(),'PB Liquefaction Initiation'!F11)</f>
        <v>11.900438780020192</v>
      </c>
      <c r="G11" s="17">
        <f>IF('PB Liquefaction Initiation'!G11="","",'PB Liquefaction Initiation'!G11)</f>
        <v>32.735951291999996</v>
      </c>
      <c r="H11" s="17">
        <f>IF('PB Liquefaction Initiation'!H11="","",'PB Liquefaction Initiation'!H11)</f>
        <v>16.295496491999995</v>
      </c>
      <c r="I11" s="93">
        <f>IF(OR(A11&lt;$B$4,A11=""),"",-1.012-1.126*SIN(A11/11.73+5.133))</f>
        <v>-6.010600017897838E-2</v>
      </c>
      <c r="J11" s="93">
        <f>IF(OR(A11&lt;$B$4,A11=""),"",0.106+0.118*SIN(A11/11.28+5.142))</f>
        <v>7.1829753563227156E-3</v>
      </c>
      <c r="K11" s="93">
        <f>IF(OR(A11&lt;$B$4,A11=""),"",EXP(I11+J11*$B$5))</f>
        <v>0.9888014085690755</v>
      </c>
      <c r="L11" s="93">
        <f t="shared" ca="1" si="0"/>
        <v>1.0589695737438447</v>
      </c>
      <c r="M11" s="93">
        <f ca="1">IF(OR(A11&lt;$B$4,A11=""),"",MIN(0.3,1/(18.9-2.55*SQRT(F11))))</f>
        <v>9.8977936132341141E-2</v>
      </c>
      <c r="N11" s="93">
        <f ca="1">IF(OR(A11&lt;$B$4,A11=""),"",1-M11*LN(H11/101.325))</f>
        <v>1.1808766742881569</v>
      </c>
      <c r="O11" s="227">
        <f>IF(Inputs!H14="",1,Inputs!H14)</f>
        <v>1</v>
      </c>
      <c r="P11" s="85">
        <v>34.456560134887695</v>
      </c>
      <c r="Q11" s="19">
        <f t="shared" ca="1" si="1"/>
        <v>0.15109424382340919</v>
      </c>
      <c r="R11" s="19">
        <f t="shared" ca="1" si="2"/>
        <v>0.99999999999552869</v>
      </c>
      <c r="S11" s="87">
        <f ca="1">IF(OR(A11&lt;$B$4,A11="",Inputs!J14="No",Method_BI=FALSE),NA(),0.65*($B$2*$B$3)*G11/H11*K11/L11/N11)</f>
        <v>0.75372797671486647</v>
      </c>
      <c r="T11" s="86">
        <f t="shared" ca="1" si="3"/>
        <v>0.11388395869028091</v>
      </c>
      <c r="U11">
        <f t="shared" ref="U11:U29" ca="1" si="4">MIN(2.2,1.09+((F11/31.5)^2))</f>
        <v>1.2327265741063327</v>
      </c>
    </row>
    <row r="12" spans="1:22" x14ac:dyDescent="0.25">
      <c r="A12" s="105">
        <f>IF('PB Liquefaction Initiation'!A12="","",'PB Liquefaction Initiation'!A12)</f>
        <v>3.2004000000000001</v>
      </c>
      <c r="B12" s="35">
        <f ca="1">'PB Liquefaction Initiation'!B12</f>
        <v>12.544218221569151</v>
      </c>
      <c r="C12" s="35">
        <f>IF('PB Liquefaction Initiation'!C12="","",'PB Liquefaction Initiation'!C12)</f>
        <v>19.527529999999999</v>
      </c>
      <c r="D12" s="10">
        <f>IF('PB Liquefaction Initiation'!D12="","",'PB Liquefaction Initiation'!D12)</f>
        <v>10</v>
      </c>
      <c r="E12" s="108">
        <f>IF('PB Liquefaction Initiation'!E12="","",'PB Liquefaction Initiation'!E12)</f>
        <v>1.524</v>
      </c>
      <c r="F12" s="92">
        <f ca="1">IF(OR('PB Liquefaction Initiation'!F12="",Method_BI=FALSE),NA(),'PB Liquefaction Initiation'!F12)</f>
        <v>13.693403668256009</v>
      </c>
      <c r="G12" s="17">
        <f>IF('PB Liquefaction Initiation'!G12="","",'PB Liquefaction Initiation'!G12)</f>
        <v>62.495907011999996</v>
      </c>
      <c r="H12" s="17">
        <f>IF('PB Liquefaction Initiation'!H12="","",'PB Liquefaction Initiation'!H12)</f>
        <v>31.109584211999994</v>
      </c>
      <c r="I12" s="93">
        <f t="shared" ref="I12:I29" si="5">IF(OR(A12&lt;$B$4,A12=""),"",-1.012-1.126*SIN(A12/11.73+5.133))</f>
        <v>-0.14605483031814692</v>
      </c>
      <c r="J12" s="93">
        <f t="shared" ref="J12:J29" si="6">IF(OR(A12&lt;$B$4,A12=""),"",0.106+0.118*SIN(A12/11.28+5.142))</f>
        <v>1.6770267461211796E-2</v>
      </c>
      <c r="K12" s="93">
        <f t="shared" ref="K12:K29" si="7">IF(OR(A12&lt;$B$4,A12=""),"",EXP(I12+J12*$B$5))</f>
        <v>0.96849010639028854</v>
      </c>
      <c r="L12" s="93">
        <f t="shared" ca="1" si="0"/>
        <v>1.0706879700529888</v>
      </c>
      <c r="M12" s="93">
        <f t="shared" ref="M12:M29" ca="1" si="8">IF(OR(A12&lt;$B$4,A12=""),"",MIN(0.3,1/(18.9-2.55*SQRT(F12))))</f>
        <v>0.10566549665567099</v>
      </c>
      <c r="N12" s="93">
        <f t="shared" ref="N12:N29" ca="1" si="9">IF(OR(A12&lt;$B$4,A12=""),"",1-M12*LN(H12/101.325))</f>
        <v>1.1247716387278885</v>
      </c>
      <c r="O12" s="227">
        <f>IF(Inputs!H15="",1,Inputs!H15)</f>
        <v>1</v>
      </c>
      <c r="P12" s="85">
        <v>34.541889190673828</v>
      </c>
      <c r="Q12" s="19">
        <f t="shared" ca="1" si="1"/>
        <v>0.16405473453769903</v>
      </c>
      <c r="R12" s="19">
        <f t="shared" ca="1" si="2"/>
        <v>0.99999999996610567</v>
      </c>
      <c r="S12" s="87">
        <f ca="1">IF(OR(A12&lt;$B$4,A12="",Inputs!J15="No",Method_BI=FALSE),NA(),0.65*($B$2*$B$3)*G12/H12*K12/L12/N12)</f>
        <v>0.76658707737983955</v>
      </c>
      <c r="T12" s="86">
        <f t="shared" ca="1" si="3"/>
        <v>0.12576223947958012</v>
      </c>
      <c r="U12">
        <f t="shared" ca="1" si="4"/>
        <v>1.278973851369924</v>
      </c>
    </row>
    <row r="13" spans="1:22" x14ac:dyDescent="0.25">
      <c r="A13" s="105">
        <f>IF('PB Liquefaction Initiation'!A13="","",'PB Liquefaction Initiation'!A13)</f>
        <v>4.5720000000000001</v>
      </c>
      <c r="B13" s="35">
        <f ca="1">'PB Liquefaction Initiation'!B13</f>
        <v>1.9867806522050186</v>
      </c>
      <c r="C13" s="35">
        <f>IF('PB Liquefaction Initiation'!C13="","",'PB Liquefaction Initiation'!C13)</f>
        <v>19.527529999999999</v>
      </c>
      <c r="D13" s="10">
        <f>IF('PB Liquefaction Initiation'!D13="","",'PB Liquefaction Initiation'!D13)</f>
        <v>60</v>
      </c>
      <c r="E13" s="108">
        <f>IF('PB Liquefaction Initiation'!E13="","",'PB Liquefaction Initiation'!E13)</f>
        <v>1.2192000000000001</v>
      </c>
      <c r="F13" s="92">
        <f ca="1">IF(OR('PB Liquefaction Initiation'!F13="",Method_BI=FALSE),NA(),'PB Liquefaction Initiation'!F13)</f>
        <v>7.5891695726420965</v>
      </c>
      <c r="G13" s="17">
        <f>IF('PB Liquefaction Initiation'!G13="","",'PB Liquefaction Initiation'!G13)</f>
        <v>89.279867159999995</v>
      </c>
      <c r="H13" s="17">
        <f>IF('PB Liquefaction Initiation'!H13="","",'PB Liquefaction Initiation'!H13)</f>
        <v>44.442263159999996</v>
      </c>
      <c r="I13" s="93">
        <f t="shared" si="5"/>
        <v>-0.23593541432620369</v>
      </c>
      <c r="J13" s="93">
        <f t="shared" si="6"/>
        <v>2.6794925273762593E-2</v>
      </c>
      <c r="K13" s="93">
        <f t="shared" si="7"/>
        <v>0.9476880211869122</v>
      </c>
      <c r="L13" s="93">
        <f t="shared" ca="1" si="0"/>
        <v>1.0375125659620072</v>
      </c>
      <c r="M13" s="93">
        <f t="shared" ca="1" si="8"/>
        <v>8.4209491701384948E-2</v>
      </c>
      <c r="N13" s="93">
        <f t="shared" ca="1" si="9"/>
        <v>1.0694006027281664</v>
      </c>
      <c r="O13" s="227">
        <f>IF(Inputs!H16="",1,Inputs!H16)</f>
        <v>1</v>
      </c>
      <c r="P13" s="85" t="e">
        <v>#N/A</v>
      </c>
      <c r="Q13" s="19" t="e">
        <f t="shared" ca="1" si="1"/>
        <v>#N/A</v>
      </c>
      <c r="R13" s="19" t="e">
        <f t="shared" ca="1" si="2"/>
        <v>#N/A</v>
      </c>
      <c r="S13" s="87" t="e">
        <f>IF(OR(A13&lt;$B$4,A13="",Inputs!J16="No",Method_BI=FALSE),NA(),0.65*($B$2*$B$3)*G13/H13*K13/L13/N13)</f>
        <v>#N/A</v>
      </c>
      <c r="T13" s="86">
        <f t="shared" ca="1" si="3"/>
        <v>8.8135265298010565E-2</v>
      </c>
      <c r="U13">
        <f t="shared" ca="1" si="4"/>
        <v>1.148045346235643</v>
      </c>
    </row>
    <row r="14" spans="1:22" x14ac:dyDescent="0.25">
      <c r="A14" s="105">
        <f>IF('PB Liquefaction Initiation'!A14="","",'PB Liquefaction Initiation'!A14)</f>
        <v>6.2484000000000002</v>
      </c>
      <c r="B14" s="35">
        <f ca="1">'PB Liquefaction Initiation'!B14</f>
        <v>20.559288464609821</v>
      </c>
      <c r="C14" s="35">
        <f>IF('PB Liquefaction Initiation'!C14="","",'PB Liquefaction Initiation'!C14)</f>
        <v>19.527529999999999</v>
      </c>
      <c r="D14" s="10">
        <f>IF('PB Liquefaction Initiation'!D14="","",'PB Liquefaction Initiation'!D14)</f>
        <v>10</v>
      </c>
      <c r="E14" s="108">
        <f>IF('PB Liquefaction Initiation'!E14="","",'PB Liquefaction Initiation'!E14)</f>
        <v>2.1335999999999999</v>
      </c>
      <c r="F14" s="92">
        <f ca="1">IF(OR('PB Liquefaction Initiation'!F14="",Method_BI=FALSE),NA(),'PB Liquefaction Initiation'!F14)</f>
        <v>21.708473911296679</v>
      </c>
      <c r="G14" s="17">
        <f>IF('PB Liquefaction Initiation'!G14="","",'PB Liquefaction Initiation'!G14)</f>
        <v>122.01581845199999</v>
      </c>
      <c r="H14" s="17">
        <f>IF('PB Liquefaction Initiation'!H14="","",'PB Liquefaction Initiation'!H14)</f>
        <v>60.737759651999987</v>
      </c>
      <c r="I14" s="93">
        <f t="shared" si="5"/>
        <v>-0.36004762462770235</v>
      </c>
      <c r="J14" s="93">
        <f t="shared" si="6"/>
        <v>4.061937222475992E-2</v>
      </c>
      <c r="K14" s="93">
        <f t="shared" si="7"/>
        <v>0.91958215312241742</v>
      </c>
      <c r="L14" s="93">
        <f t="shared" ca="1" si="0"/>
        <v>1.1431473366374525</v>
      </c>
      <c r="M14" s="93">
        <f t="shared" ca="1" si="8"/>
        <v>0.14247145442317927</v>
      </c>
      <c r="N14" s="93">
        <f t="shared" ca="1" si="9"/>
        <v>1.0729122739859158</v>
      </c>
      <c r="O14" s="227">
        <f>IF(Inputs!H17="",1,Inputs!H17)</f>
        <v>1</v>
      </c>
      <c r="P14" s="85">
        <v>34.183750152587891</v>
      </c>
      <c r="Q14" s="19">
        <f t="shared" ca="1" si="1"/>
        <v>0.27664601158220065</v>
      </c>
      <c r="R14" s="19">
        <f t="shared" ca="1" si="2"/>
        <v>0.99999824991824682</v>
      </c>
      <c r="S14" s="87">
        <f ca="1">IF(OR(A14&lt;$B$4,A14="",Inputs!J17="No",Method_BI=FALSE),NA(),0.65*($B$2*$B$3)*G14/H14*K14/L14/N14)</f>
        <v>0.71468998628801128</v>
      </c>
      <c r="T14" s="86">
        <f t="shared" ca="1" si="3"/>
        <v>0.19771613422431597</v>
      </c>
      <c r="U14">
        <f t="shared" ca="1" si="4"/>
        <v>1.5649386138145109</v>
      </c>
    </row>
    <row r="15" spans="1:22" x14ac:dyDescent="0.25">
      <c r="A15" s="105">
        <f>IF('PB Liquefaction Initiation'!A15="","",'PB Liquefaction Initiation'!A15)</f>
        <v>7.7724000000000002</v>
      </c>
      <c r="B15" s="35">
        <f ca="1">'PB Liquefaction Initiation'!B15</f>
        <v>27.991214213602863</v>
      </c>
      <c r="C15" s="35">
        <f>IF('PB Liquefaction Initiation'!C15="","",'PB Liquefaction Initiation'!C15)</f>
        <v>19.527529999999999</v>
      </c>
      <c r="D15" s="10">
        <f>IF('PB Liquefaction Initiation'!D15="","",'PB Liquefaction Initiation'!D15)</f>
        <v>10</v>
      </c>
      <c r="E15" s="108">
        <f>IF('PB Liquefaction Initiation'!E15="","",'PB Liquefaction Initiation'!E15)</f>
        <v>0.91439999999999999</v>
      </c>
      <c r="F15" s="92">
        <f ca="1">IF(OR('PB Liquefaction Initiation'!F15="",Method_BI=FALSE),NA(),'PB Liquefaction Initiation'!F15)</f>
        <v>29.14039966028972</v>
      </c>
      <c r="G15" s="17">
        <f>IF('PB Liquefaction Initiation'!G15="","",'PB Liquefaction Initiation'!G15)</f>
        <v>151.77577417199998</v>
      </c>
      <c r="H15" s="17">
        <f>IF('PB Liquefaction Initiation'!H15="","",'PB Liquefaction Initiation'!H15)</f>
        <v>75.551847371999983</v>
      </c>
      <c r="I15" s="93">
        <f t="shared" si="5"/>
        <v>-0.48448445655966998</v>
      </c>
      <c r="J15" s="93">
        <f t="shared" si="6"/>
        <v>5.4446511456743056E-2</v>
      </c>
      <c r="K15" s="93">
        <f t="shared" si="7"/>
        <v>0.89203654398005017</v>
      </c>
      <c r="L15" s="93">
        <f t="shared" ca="1" si="0"/>
        <v>1.2396509563074263</v>
      </c>
      <c r="M15" s="93">
        <f t="shared" ca="1" si="8"/>
        <v>0.19475605168489971</v>
      </c>
      <c r="N15" s="93">
        <f t="shared" ca="1" si="9"/>
        <v>1.0571636339445332</v>
      </c>
      <c r="O15" s="227">
        <f>IF(Inputs!H18="",1,Inputs!H18)</f>
        <v>1</v>
      </c>
      <c r="P15" s="85">
        <v>33.668972015380859</v>
      </c>
      <c r="Q15" s="19">
        <f t="shared" ca="1" si="1"/>
        <v>0.58107357361902523</v>
      </c>
      <c r="R15" s="19">
        <f t="shared" ca="1" si="2"/>
        <v>0.97499322080302198</v>
      </c>
      <c r="S15" s="87">
        <f ca="1">IF(OR(A15&lt;$B$4,A15="",Inputs!J18="No",Method_BI=FALSE),NA(),0.65*($B$2*$B$3)*G15/H15*K15/L15/N15)</f>
        <v>0.64883549021389109</v>
      </c>
      <c r="T15" s="86">
        <f t="shared" ca="1" si="3"/>
        <v>0.37702115698943778</v>
      </c>
      <c r="U15">
        <f t="shared" ca="1" si="4"/>
        <v>1.9457953059827799</v>
      </c>
    </row>
    <row r="16" spans="1:22" x14ac:dyDescent="0.25">
      <c r="A16" s="105">
        <f>IF('PB Liquefaction Initiation'!A16="","",'PB Liquefaction Initiation'!A16)</f>
        <v>9.2964000000000002</v>
      </c>
      <c r="B16" s="35">
        <f ca="1">'PB Liquefaction Initiation'!B16</f>
        <v>20.1884451292024</v>
      </c>
      <c r="C16" s="35">
        <f>IF('PB Liquefaction Initiation'!C16="","",'PB Liquefaction Initiation'!C16)</f>
        <v>19.527529999999999</v>
      </c>
      <c r="D16" s="10">
        <f>IF('PB Liquefaction Initiation'!D16="","",'PB Liquefaction Initiation'!D16)</f>
        <v>10</v>
      </c>
      <c r="E16" s="108">
        <f>IF('PB Liquefaction Initiation'!E16="","",'PB Liquefaction Initiation'!E16)</f>
        <v>2.1335999999999999</v>
      </c>
      <c r="F16" s="92">
        <f ca="1">IF(OR('PB Liquefaction Initiation'!F16="",Method_BI=FALSE),NA(),'PB Liquefaction Initiation'!F16)</f>
        <v>21.337630575889257</v>
      </c>
      <c r="G16" s="17">
        <f>IF('PB Liquefaction Initiation'!G16="","",'PB Liquefaction Initiation'!G16)</f>
        <v>181.53572989199998</v>
      </c>
      <c r="H16" s="17">
        <f>IF('PB Liquefaction Initiation'!H16="","",'PB Liquefaction Initiation'!H16)</f>
        <v>90.365935091999972</v>
      </c>
      <c r="I16" s="93">
        <f t="shared" si="5"/>
        <v>-0.61781326230388878</v>
      </c>
      <c r="J16" s="93">
        <f t="shared" si="6"/>
        <v>6.9213263799757785E-2</v>
      </c>
      <c r="K16" s="93">
        <f t="shared" si="7"/>
        <v>0.86315321286955704</v>
      </c>
      <c r="L16" s="93">
        <f t="shared" ca="1" si="0"/>
        <v>1.139070857363822</v>
      </c>
      <c r="M16" s="93">
        <f t="shared" ca="1" si="8"/>
        <v>0.14043231150803093</v>
      </c>
      <c r="N16" s="93">
        <f t="shared" ca="1" si="9"/>
        <v>1.016074696929782</v>
      </c>
      <c r="O16" s="227">
        <f>IF(Inputs!H19="",1,Inputs!H19)</f>
        <v>1</v>
      </c>
      <c r="P16" s="85">
        <v>34.15599250793457</v>
      </c>
      <c r="Q16" s="19">
        <f t="shared" ca="1" si="1"/>
        <v>0.27162753281988083</v>
      </c>
      <c r="R16" s="19">
        <f t="shared" ca="1" si="2"/>
        <v>0.99999873153506269</v>
      </c>
      <c r="S16" s="87">
        <f ca="1">IF(OR(A16&lt;$B$4,A16="",Inputs!J19="No",Method_BI=FALSE),NA(),0.65*($B$2*$B$3)*G16/H16*K16/L16/N16)</f>
        <v>0.71089441090745842</v>
      </c>
      <c r="T16" s="86">
        <f t="shared" ca="1" si="3"/>
        <v>0.19309849493023551</v>
      </c>
      <c r="U16">
        <f t="shared" ca="1" si="4"/>
        <v>1.5488505705146125</v>
      </c>
    </row>
    <row r="17" spans="1:21" x14ac:dyDescent="0.25">
      <c r="A17" s="105">
        <f>IF('PB Liquefaction Initiation'!A17="","",'PB Liquefaction Initiation'!A17)</f>
        <v>10.820399999999999</v>
      </c>
      <c r="B17" s="35">
        <f ca="1">'PB Liquefaction Initiation'!B17</f>
        <v>8.3384535645198135</v>
      </c>
      <c r="C17" s="35">
        <f>IF('PB Liquefaction Initiation'!C17="","",'PB Liquefaction Initiation'!C17)</f>
        <v>19.527529999999999</v>
      </c>
      <c r="D17" s="10">
        <f>IF('PB Liquefaction Initiation'!D17="","",'PB Liquefaction Initiation'!D17)</f>
        <v>10</v>
      </c>
      <c r="E17" s="108">
        <f>IF('PB Liquefaction Initiation'!E17="","",'PB Liquefaction Initiation'!E17)</f>
        <v>0.91439999999999999</v>
      </c>
      <c r="F17" s="92">
        <f ca="1">IF(OR('PB Liquefaction Initiation'!F17="",Method_BI=FALSE),NA(),'PB Liquefaction Initiation'!F17)</f>
        <v>9.4876390112066709</v>
      </c>
      <c r="G17" s="17">
        <f>IF('PB Liquefaction Initiation'!G17="","",'PB Liquefaction Initiation'!G17)</f>
        <v>211.29568561199994</v>
      </c>
      <c r="H17" s="17">
        <f>IF('PB Liquefaction Initiation'!H17="","",'PB Liquefaction Initiation'!H17)</f>
        <v>105.18002281199995</v>
      </c>
      <c r="I17" s="93">
        <f t="shared" si="5"/>
        <v>-0.75778660808548748</v>
      </c>
      <c r="J17" s="93">
        <f t="shared" si="6"/>
        <v>8.4650490646487525E-2</v>
      </c>
      <c r="K17" s="93">
        <f t="shared" si="7"/>
        <v>0.83346524802694211</v>
      </c>
      <c r="L17" s="93">
        <f t="shared" ca="1" si="0"/>
        <v>1.0457914390519785</v>
      </c>
      <c r="M17" s="93">
        <f t="shared" ca="1" si="8"/>
        <v>9.0534712470771467E-2</v>
      </c>
      <c r="N17" s="93">
        <f t="shared" ca="1" si="9"/>
        <v>0.99661941459480508</v>
      </c>
      <c r="O17" s="227">
        <f>IF(Inputs!H20="",1,Inputs!H20)</f>
        <v>1</v>
      </c>
      <c r="P17" s="85">
        <v>34.513477325439453</v>
      </c>
      <c r="Q17" s="19">
        <f t="shared" ca="1" si="1"/>
        <v>0.12990392170651952</v>
      </c>
      <c r="R17" s="19">
        <f t="shared" ca="1" si="2"/>
        <v>0.9999999999999134</v>
      </c>
      <c r="S17" s="87">
        <f ca="1">IF(OR(A17&lt;$B$4,A17="",Inputs!J20="No",Method_BI=FALSE),NA(),0.65*($B$2*$B$3)*G17/H17*K17/L17/N17)</f>
        <v>0.76226618833284232</v>
      </c>
      <c r="T17" s="86">
        <f t="shared" ca="1" si="3"/>
        <v>9.9021367248716616E-2</v>
      </c>
      <c r="U17">
        <f t="shared" ca="1" si="4"/>
        <v>1.1807183613071008</v>
      </c>
    </row>
    <row r="18" spans="1:21" x14ac:dyDescent="0.25">
      <c r="A18" s="105">
        <f>IF('PB Liquefaction Initiation'!A18="","",'PB Liquefaction Initiation'!A18)</f>
        <v>12.4968</v>
      </c>
      <c r="B18" s="35">
        <f ca="1">'PB Liquefaction Initiation'!B18</f>
        <v>1.7282171422467403</v>
      </c>
      <c r="C18" s="35">
        <f>IF('PB Liquefaction Initiation'!C18="","",'PB Liquefaction Initiation'!C18)</f>
        <v>19.527529999999999</v>
      </c>
      <c r="D18" s="10">
        <f>IF('PB Liquefaction Initiation'!D18="","",'PB Liquefaction Initiation'!D18)</f>
        <v>70</v>
      </c>
      <c r="E18" s="108">
        <f>IF('PB Liquefaction Initiation'!E18="","",'PB Liquefaction Initiation'!E18)</f>
        <v>2.4384000000000001</v>
      </c>
      <c r="F18" s="92">
        <f ca="1">IF(OR('PB Liquefaction Initiation'!F18="",Method_BI=FALSE),NA(),'PB Liquefaction Initiation'!F18)</f>
        <v>7.3030476983682764</v>
      </c>
      <c r="G18" s="17">
        <f>IF('PB Liquefaction Initiation'!G18="","",'PB Liquefaction Initiation'!G18)</f>
        <v>244.03163690399998</v>
      </c>
      <c r="H18" s="17">
        <f>IF('PB Liquefaction Initiation'!H18="","",'PB Liquefaction Initiation'!H18)</f>
        <v>121.47551930399997</v>
      </c>
      <c r="I18" s="93">
        <f t="shared" si="5"/>
        <v>-0.91661337100776497</v>
      </c>
      <c r="J18" s="93">
        <f t="shared" si="6"/>
        <v>0.10206979694341464</v>
      </c>
      <c r="K18" s="93">
        <f t="shared" si="7"/>
        <v>0.80048398595981718</v>
      </c>
      <c r="L18" s="93">
        <f t="shared" ca="1" si="0"/>
        <v>1.0364244596501733</v>
      </c>
      <c r="M18" s="93">
        <f t="shared" ca="1" si="8"/>
        <v>8.327198033305834E-2</v>
      </c>
      <c r="N18" s="93">
        <f t="shared" ca="1" si="9"/>
        <v>0.98489616295200078</v>
      </c>
      <c r="O18" s="227">
        <f>IF(Inputs!H21="",1,Inputs!H21)</f>
        <v>1</v>
      </c>
      <c r="P18" s="85" t="e">
        <v>#N/A</v>
      </c>
      <c r="Q18" s="19" t="e">
        <f t="shared" ca="1" si="1"/>
        <v>#N/A</v>
      </c>
      <c r="R18" s="19" t="e">
        <f t="shared" ca="1" si="2"/>
        <v>#N/A</v>
      </c>
      <c r="S18" s="87" t="e">
        <f>IF(OR(A18&lt;$B$4,A18="",Inputs!J21="No",Method_BI=FALSE),NA(),0.65*($B$2*$B$3)*G18/H18*K18/L18/N18)</f>
        <v>#N/A</v>
      </c>
      <c r="T18" s="86">
        <f t="shared" ca="1" si="3"/>
        <v>8.6556517762789179E-2</v>
      </c>
      <c r="U18">
        <f t="shared" ca="1" si="4"/>
        <v>1.1437510765277321</v>
      </c>
    </row>
    <row r="19" spans="1:21" x14ac:dyDescent="0.25">
      <c r="A19" s="105">
        <f>IF('PB Liquefaction Initiation'!A19="","",'PB Liquefaction Initiation'!A19)</f>
        <v>13.715999999999999</v>
      </c>
      <c r="B19" s="35">
        <f ca="1">'PB Liquefaction Initiation'!B19</f>
        <v>1.6308342079976466</v>
      </c>
      <c r="C19" s="35">
        <f>IF('PB Liquefaction Initiation'!C19="","",'PB Liquefaction Initiation'!C19)</f>
        <v>19.527529999999999</v>
      </c>
      <c r="D19" s="10">
        <f>IF('PB Liquefaction Initiation'!D19="","",'PB Liquefaction Initiation'!D19)</f>
        <v>5</v>
      </c>
      <c r="E19" s="108">
        <f>IF('PB Liquefaction Initiation'!E19="","",'PB Liquefaction Initiation'!E19)</f>
        <v>0.91439999999999999</v>
      </c>
      <c r="F19" s="92">
        <f ca="1">IF(OR('PB Liquefaction Initiation'!F19="",Method_BI=FALSE),NA(),'PB Liquefaction Initiation'!F19)</f>
        <v>1.6327566637818389</v>
      </c>
      <c r="G19" s="17">
        <f>IF('PB Liquefaction Initiation'!G19="","",'PB Liquefaction Initiation'!G19)</f>
        <v>267.83960147999994</v>
      </c>
      <c r="H19" s="17">
        <f>IF('PB Liquefaction Initiation'!H19="","",'PB Liquefaction Initiation'!H19)</f>
        <v>133.32678947999995</v>
      </c>
      <c r="I19" s="93">
        <f t="shared" si="5"/>
        <v>-1.0335324867780549</v>
      </c>
      <c r="J19" s="93">
        <f t="shared" si="6"/>
        <v>0.11481489329081636</v>
      </c>
      <c r="K19" s="93">
        <f t="shared" si="7"/>
        <v>0.77663001561404332</v>
      </c>
      <c r="L19" s="93">
        <f t="shared" ca="1" si="0"/>
        <v>1.0234854836725904</v>
      </c>
      <c r="M19" s="93">
        <f t="shared" ca="1" si="8"/>
        <v>6.3931971714297986E-2</v>
      </c>
      <c r="N19" s="93">
        <f t="shared" ca="1" si="9"/>
        <v>0.98245259135142282</v>
      </c>
      <c r="O19" s="227">
        <f>IF(Inputs!H22="",1,Inputs!H22)</f>
        <v>1</v>
      </c>
      <c r="P19" s="85">
        <v>34.336931228637695</v>
      </c>
      <c r="Q19" s="19">
        <f t="shared" ca="1" si="1"/>
        <v>8.0170301250297227E-2</v>
      </c>
      <c r="R19" s="19">
        <f t="shared" ca="1" si="2"/>
        <v>1</v>
      </c>
      <c r="S19" s="87">
        <f ca="1">IF(OR(A19&lt;$B$4,A19="",Inputs!J22="No",Method_BI=FALSE),NA(),0.65*($B$2*$B$3)*G19/H19*K19/L19/N19)</f>
        <v>0.73623162212844251</v>
      </c>
      <c r="T19" s="86">
        <f t="shared" ca="1" si="3"/>
        <v>5.902391093603223E-2</v>
      </c>
      <c r="U19">
        <f t="shared" ca="1" si="4"/>
        <v>1.0926867163750307</v>
      </c>
    </row>
    <row r="20" spans="1:21" x14ac:dyDescent="0.25">
      <c r="A20" s="105">
        <f>IF('PB Liquefaction Initiation'!A20="","",'PB Liquefaction Initiation'!A20)</f>
        <v>15.6972</v>
      </c>
      <c r="B20" s="35">
        <f ca="1">'PB Liquefaction Initiation'!B20</f>
        <v>9.6579991118717725</v>
      </c>
      <c r="C20" s="35">
        <f>IF('PB Liquefaction Initiation'!C20="","",'PB Liquefaction Initiation'!C20)</f>
        <v>19.527529999999999</v>
      </c>
      <c r="D20" s="10">
        <f>IF('PB Liquefaction Initiation'!D20="","",'PB Liquefaction Initiation'!D20)</f>
        <v>5</v>
      </c>
      <c r="E20" s="108">
        <f>IF('PB Liquefaction Initiation'!E20="","",'PB Liquefaction Initiation'!E20)</f>
        <v>2.1335999999999999</v>
      </c>
      <c r="F20" s="92">
        <f ca="1">IF(OR('PB Liquefaction Initiation'!F20="",Method_BI=FALSE),NA(),'PB Liquefaction Initiation'!F20)</f>
        <v>9.6599215676559655</v>
      </c>
      <c r="G20" s="17">
        <f>IF('PB Liquefaction Initiation'!G20="","",'PB Liquefaction Initiation'!G20)</f>
        <v>306.52754391599996</v>
      </c>
      <c r="H20" s="17">
        <f>IF('PB Liquefaction Initiation'!H20="","",'PB Liquefaction Initiation'!H20)</f>
        <v>152.58510351599995</v>
      </c>
      <c r="I20" s="93">
        <f t="shared" si="5"/>
        <v>-1.2224702213186536</v>
      </c>
      <c r="J20" s="93">
        <f t="shared" si="6"/>
        <v>0.13524059073495981</v>
      </c>
      <c r="K20" s="93">
        <f t="shared" si="7"/>
        <v>0.73872156306117165</v>
      </c>
      <c r="L20" s="93">
        <f t="shared" ca="1" si="0"/>
        <v>1.046633833826536</v>
      </c>
      <c r="M20" s="93">
        <f t="shared" ca="1" si="8"/>
        <v>9.1120371397007682E-2</v>
      </c>
      <c r="N20" s="93">
        <f t="shared" ca="1" si="9"/>
        <v>0.96269629277662172</v>
      </c>
      <c r="O20" s="227">
        <f>IF(Inputs!H23="",1,Inputs!H23)</f>
        <v>1</v>
      </c>
      <c r="P20" s="85">
        <v>34.066644668579102</v>
      </c>
      <c r="Q20" s="19">
        <f t="shared" ca="1" si="1"/>
        <v>0.14315320799813824</v>
      </c>
      <c r="R20" s="19">
        <f t="shared" ca="1" si="2"/>
        <v>0.99999999999887046</v>
      </c>
      <c r="S20" s="87">
        <f ca="1">IF(OR(A20&lt;$B$4,A20="",Inputs!J23="No",Method_BI=FALSE),NA(),0.65*($B$2*$B$3)*G20/H20*K20/L20/N20)</f>
        <v>0.69886017471582129</v>
      </c>
      <c r="T20" s="86">
        <f t="shared" ca="1" si="3"/>
        <v>0.1000440759527092</v>
      </c>
      <c r="U20">
        <f t="shared" ca="1" si="4"/>
        <v>1.1840429173023583</v>
      </c>
    </row>
    <row r="21" spans="1:21" x14ac:dyDescent="0.25">
      <c r="A21" s="105">
        <f>IF('PB Liquefaction Initiation'!A21="","",'PB Liquefaction Initiation'!A21)</f>
        <v>17.3736</v>
      </c>
      <c r="B21" s="35">
        <f ca="1">'PB Liquefaction Initiation'!B21</f>
        <v>2.3739365564012611</v>
      </c>
      <c r="C21" s="35">
        <f>IF('PB Liquefaction Initiation'!C21="","",'PB Liquefaction Initiation'!C21)</f>
        <v>19.527529999999999</v>
      </c>
      <c r="D21" s="10">
        <f>IF('PB Liquefaction Initiation'!D21="","",'PB Liquefaction Initiation'!D21)</f>
        <v>5</v>
      </c>
      <c r="E21" s="108">
        <f>IF('PB Liquefaction Initiation'!E21="","",'PB Liquefaction Initiation'!E21)</f>
        <v>1.2192000000000001</v>
      </c>
      <c r="F21" s="92">
        <f ca="1">IF(OR('PB Liquefaction Initiation'!F21="",Method_BI=FALSE),NA(),'PB Liquefaction Initiation'!F21)</f>
        <v>2.3758590121854533</v>
      </c>
      <c r="G21" s="17">
        <f>IF('PB Liquefaction Initiation'!G21="","",'PB Liquefaction Initiation'!G21)</f>
        <v>339.26349520799994</v>
      </c>
      <c r="H21" s="17">
        <f>IF('PB Liquefaction Initiation'!H21="","",'PB Liquefaction Initiation'!H21)</f>
        <v>168.88060000799993</v>
      </c>
      <c r="I21" s="93">
        <f t="shared" si="5"/>
        <v>-1.3778736310082447</v>
      </c>
      <c r="J21" s="93">
        <f t="shared" si="6"/>
        <v>0.15184564184324478</v>
      </c>
      <c r="K21" s="93">
        <f t="shared" si="7"/>
        <v>0.70799144657214785</v>
      </c>
      <c r="L21" s="93">
        <f t="shared" ca="1" si="0"/>
        <v>1.024246167107276</v>
      </c>
      <c r="M21" s="93">
        <f t="shared" ca="1" si="8"/>
        <v>6.6802607963325863E-2</v>
      </c>
      <c r="N21" s="93">
        <f t="shared" ca="1" si="9"/>
        <v>0.9658733009354874</v>
      </c>
      <c r="O21" s="227">
        <f>IF(Inputs!H24="",1,Inputs!H24)</f>
        <v>1</v>
      </c>
      <c r="P21" s="85">
        <v>33.938884735107422</v>
      </c>
      <c r="Q21" s="19">
        <f t="shared" ca="1" si="1"/>
        <v>9.1164811049488759E-2</v>
      </c>
      <c r="R21" s="19">
        <f t="shared" ca="1" si="2"/>
        <v>1</v>
      </c>
      <c r="S21" s="87">
        <f ca="1">IF(OR(A21&lt;$B$4,A21="",Inputs!J24="No",Method_BI=FALSE),NA(),0.65*($B$2*$B$3)*G21/H21*K21/L21/N21)</f>
        <v>0.68217702333422126</v>
      </c>
      <c r="T21" s="86">
        <f t="shared" ca="1" si="3"/>
        <v>6.2190539434566962E-2</v>
      </c>
      <c r="U21">
        <f t="shared" ca="1" si="4"/>
        <v>1.0956887942008395</v>
      </c>
    </row>
    <row r="22" spans="1:21" x14ac:dyDescent="0.25">
      <c r="A22" s="105" t="str">
        <f>IF('PB Liquefaction Initiation'!A22="","",'PB Liquefaction Initiation'!A22)</f>
        <v/>
      </c>
      <c r="B22" s="35" t="str">
        <f>'PB Liquefaction Initiation'!B22</f>
        <v/>
      </c>
      <c r="C22" s="35" t="str">
        <f>IF('PB Liquefaction Initiation'!C22="","",'PB Liquefaction Initiation'!C22)</f>
        <v/>
      </c>
      <c r="D22" s="10" t="str">
        <f>IF('PB Liquefaction Initiation'!D22="","",'PB Liquefaction Initiation'!D22)</f>
        <v/>
      </c>
      <c r="E22" s="108" t="str">
        <f>IF('PB Liquefaction Initiation'!E22="","",'PB Liquefaction Initiation'!E22)</f>
        <v/>
      </c>
      <c r="F22" s="92" t="e">
        <f>IF(OR('PB Liquefaction Initiation'!F22="",Method_BI=FALSE),NA(),'PB Liquefaction Initiation'!F22)</f>
        <v>#N/A</v>
      </c>
      <c r="G22" s="17" t="str">
        <f>IF('PB Liquefaction Initiation'!G22="","",'PB Liquefaction Initiation'!G22)</f>
        <v/>
      </c>
      <c r="H22" s="17" t="str">
        <f>IF('PB Liquefaction Initiation'!H22="","",'PB Liquefaction Initiation'!H22)</f>
        <v/>
      </c>
      <c r="I22" s="93" t="str">
        <f t="shared" si="5"/>
        <v/>
      </c>
      <c r="J22" s="93" t="str">
        <f t="shared" si="6"/>
        <v/>
      </c>
      <c r="K22" s="93" t="str">
        <f t="shared" si="7"/>
        <v/>
      </c>
      <c r="L22" s="93" t="str">
        <f t="shared" si="0"/>
        <v/>
      </c>
      <c r="M22" s="93" t="str">
        <f t="shared" si="8"/>
        <v/>
      </c>
      <c r="N22" s="93" t="str">
        <f t="shared" si="9"/>
        <v/>
      </c>
      <c r="O22" s="227">
        <f>IF(Inputs!H25="",1,Inputs!H25)</f>
        <v>1</v>
      </c>
      <c r="P22" s="85" t="e">
        <v>#N/A</v>
      </c>
      <c r="Q22" s="19" t="e">
        <f t="shared" si="1"/>
        <v>#N/A</v>
      </c>
      <c r="R22" s="19" t="e">
        <f t="shared" si="2"/>
        <v>#N/A</v>
      </c>
      <c r="S22" s="87" t="e">
        <f>IF(OR(A22&lt;$B$4,A22="",Inputs!J25="No",Method_BI=FALSE),NA(),0.65*($B$2*$B$3)*G22/H22*K22/L22/N22)</f>
        <v>#N/A</v>
      </c>
      <c r="T22" s="86" t="e">
        <f t="shared" si="3"/>
        <v>#N/A</v>
      </c>
      <c r="U22" t="e">
        <f t="shared" si="4"/>
        <v>#N/A</v>
      </c>
    </row>
    <row r="23" spans="1:21" x14ac:dyDescent="0.25">
      <c r="A23" s="105" t="str">
        <f>IF('PB Liquefaction Initiation'!A23="","",'PB Liquefaction Initiation'!A23)</f>
        <v/>
      </c>
      <c r="B23" s="35" t="str">
        <f>'PB Liquefaction Initiation'!B23</f>
        <v/>
      </c>
      <c r="C23" s="35" t="str">
        <f>IF('PB Liquefaction Initiation'!C23="","",'PB Liquefaction Initiation'!C23)</f>
        <v/>
      </c>
      <c r="D23" s="10" t="str">
        <f>IF('PB Liquefaction Initiation'!D23="","",'PB Liquefaction Initiation'!D23)</f>
        <v/>
      </c>
      <c r="E23" s="108" t="str">
        <f>IF('PB Liquefaction Initiation'!E23="","",'PB Liquefaction Initiation'!E23)</f>
        <v/>
      </c>
      <c r="F23" s="92" t="e">
        <f>IF(OR('PB Liquefaction Initiation'!F23="",Method_BI=FALSE),NA(),'PB Liquefaction Initiation'!F23)</f>
        <v>#N/A</v>
      </c>
      <c r="G23" s="17" t="str">
        <f>IF('PB Liquefaction Initiation'!G23="","",'PB Liquefaction Initiation'!G23)</f>
        <v/>
      </c>
      <c r="H23" s="17" t="str">
        <f>IF('PB Liquefaction Initiation'!H23="","",'PB Liquefaction Initiation'!H23)</f>
        <v/>
      </c>
      <c r="I23" s="93" t="str">
        <f t="shared" si="5"/>
        <v/>
      </c>
      <c r="J23" s="93" t="str">
        <f t="shared" si="6"/>
        <v/>
      </c>
      <c r="K23" s="93" t="str">
        <f t="shared" si="7"/>
        <v/>
      </c>
      <c r="L23" s="93" t="str">
        <f t="shared" si="0"/>
        <v/>
      </c>
      <c r="M23" s="93" t="str">
        <f t="shared" si="8"/>
        <v/>
      </c>
      <c r="N23" s="93" t="str">
        <f t="shared" si="9"/>
        <v/>
      </c>
      <c r="O23" s="227">
        <f>IF(Inputs!H26="",1,Inputs!H26)</f>
        <v>1</v>
      </c>
      <c r="P23" s="85" t="e">
        <v>#N/A</v>
      </c>
      <c r="Q23" s="19" t="e">
        <f t="shared" si="1"/>
        <v>#N/A</v>
      </c>
      <c r="R23" s="19" t="e">
        <f t="shared" si="2"/>
        <v>#N/A</v>
      </c>
      <c r="S23" s="87" t="e">
        <f>IF(OR(A23&lt;$B$4,A23="",Inputs!J26="No",Method_BI=FALSE),NA(),0.65*($B$2*$B$3)*G23/H23*K23/L23/N23)</f>
        <v>#N/A</v>
      </c>
      <c r="T23" s="86" t="e">
        <f t="shared" si="3"/>
        <v>#N/A</v>
      </c>
      <c r="U23" t="e">
        <f t="shared" si="4"/>
        <v>#N/A</v>
      </c>
    </row>
    <row r="24" spans="1:21" x14ac:dyDescent="0.25">
      <c r="A24" s="105" t="str">
        <f>IF('PB Liquefaction Initiation'!A24="","",'PB Liquefaction Initiation'!A24)</f>
        <v/>
      </c>
      <c r="B24" s="35" t="str">
        <f>'PB Liquefaction Initiation'!B24</f>
        <v/>
      </c>
      <c r="C24" s="35" t="str">
        <f>IF('PB Liquefaction Initiation'!C24="","",'PB Liquefaction Initiation'!C24)</f>
        <v/>
      </c>
      <c r="D24" s="10" t="str">
        <f>IF('PB Liquefaction Initiation'!D24="","",'PB Liquefaction Initiation'!D24)</f>
        <v/>
      </c>
      <c r="E24" s="108" t="str">
        <f>IF('PB Liquefaction Initiation'!E24="","",'PB Liquefaction Initiation'!E24)</f>
        <v/>
      </c>
      <c r="F24" s="92" t="e">
        <f>IF(OR('PB Liquefaction Initiation'!F24="",Method_BI=FALSE),NA(),'PB Liquefaction Initiation'!F24)</f>
        <v>#N/A</v>
      </c>
      <c r="G24" s="17" t="str">
        <f>IF('PB Liquefaction Initiation'!G24="","",'PB Liquefaction Initiation'!G24)</f>
        <v/>
      </c>
      <c r="H24" s="17" t="str">
        <f>IF('PB Liquefaction Initiation'!H24="","",'PB Liquefaction Initiation'!H24)</f>
        <v/>
      </c>
      <c r="I24" s="93" t="str">
        <f t="shared" si="5"/>
        <v/>
      </c>
      <c r="J24" s="93" t="str">
        <f t="shared" si="6"/>
        <v/>
      </c>
      <c r="K24" s="93" t="str">
        <f t="shared" si="7"/>
        <v/>
      </c>
      <c r="L24" s="93" t="str">
        <f t="shared" si="0"/>
        <v/>
      </c>
      <c r="M24" s="93" t="str">
        <f t="shared" si="8"/>
        <v/>
      </c>
      <c r="N24" s="93" t="str">
        <f t="shared" si="9"/>
        <v/>
      </c>
      <c r="O24" s="227">
        <f>IF(Inputs!H27="",1,Inputs!H27)</f>
        <v>1</v>
      </c>
      <c r="P24" s="85" t="e">
        <v>#N/A</v>
      </c>
      <c r="Q24" s="19" t="e">
        <f t="shared" si="1"/>
        <v>#N/A</v>
      </c>
      <c r="R24" s="19" t="e">
        <f t="shared" si="2"/>
        <v>#N/A</v>
      </c>
      <c r="S24" s="87" t="e">
        <f>IF(OR(A24&lt;$B$4,A24="",Inputs!J27="No",Method_BI=FALSE),NA(),0.65*($B$2*$B$3)*G24/H24*K24/L24/N24)</f>
        <v>#N/A</v>
      </c>
      <c r="T24" s="86" t="e">
        <f t="shared" si="3"/>
        <v>#N/A</v>
      </c>
      <c r="U24" t="e">
        <f t="shared" si="4"/>
        <v>#N/A</v>
      </c>
    </row>
    <row r="25" spans="1:21" x14ac:dyDescent="0.25">
      <c r="A25" s="105" t="str">
        <f>IF('PB Liquefaction Initiation'!A25="","",'PB Liquefaction Initiation'!A25)</f>
        <v/>
      </c>
      <c r="B25" s="35" t="str">
        <f>'PB Liquefaction Initiation'!B25</f>
        <v/>
      </c>
      <c r="C25" s="35" t="str">
        <f>IF('PB Liquefaction Initiation'!C25="","",'PB Liquefaction Initiation'!C25)</f>
        <v/>
      </c>
      <c r="D25" s="10" t="str">
        <f>IF('PB Liquefaction Initiation'!D25="","",'PB Liquefaction Initiation'!D25)</f>
        <v/>
      </c>
      <c r="E25" s="108" t="str">
        <f>IF('PB Liquefaction Initiation'!E25="","",'PB Liquefaction Initiation'!E25)</f>
        <v/>
      </c>
      <c r="F25" s="92" t="e">
        <f>IF(OR('PB Liquefaction Initiation'!F25="",Method_BI=FALSE),NA(),'PB Liquefaction Initiation'!F25)</f>
        <v>#N/A</v>
      </c>
      <c r="G25" s="17" t="str">
        <f>IF('PB Liquefaction Initiation'!G25="","",'PB Liquefaction Initiation'!G25)</f>
        <v/>
      </c>
      <c r="H25" s="17" t="str">
        <f>IF('PB Liquefaction Initiation'!H25="","",'PB Liquefaction Initiation'!H25)</f>
        <v/>
      </c>
      <c r="I25" s="93" t="str">
        <f t="shared" si="5"/>
        <v/>
      </c>
      <c r="J25" s="93" t="str">
        <f t="shared" si="6"/>
        <v/>
      </c>
      <c r="K25" s="93" t="str">
        <f t="shared" si="7"/>
        <v/>
      </c>
      <c r="L25" s="93" t="str">
        <f t="shared" si="0"/>
        <v/>
      </c>
      <c r="M25" s="93" t="str">
        <f t="shared" si="8"/>
        <v/>
      </c>
      <c r="N25" s="93" t="str">
        <f t="shared" si="9"/>
        <v/>
      </c>
      <c r="O25" s="227">
        <f>IF(Inputs!H28="",1,Inputs!H28)</f>
        <v>1</v>
      </c>
      <c r="P25" s="85" t="e">
        <v>#N/A</v>
      </c>
      <c r="Q25" s="19" t="e">
        <f t="shared" si="1"/>
        <v>#N/A</v>
      </c>
      <c r="R25" s="19" t="e">
        <f t="shared" si="2"/>
        <v>#N/A</v>
      </c>
      <c r="S25" s="87" t="e">
        <f>IF(OR(A25&lt;$B$4,A25="",Inputs!J28="No",Method_BI=FALSE),NA(),0.65*($B$2*$B$3)*G25/H25*K25/L25/N25)</f>
        <v>#N/A</v>
      </c>
      <c r="T25" s="86" t="e">
        <f t="shared" si="3"/>
        <v>#N/A</v>
      </c>
      <c r="U25" t="e">
        <f t="shared" si="4"/>
        <v>#N/A</v>
      </c>
    </row>
    <row r="26" spans="1:21" x14ac:dyDescent="0.25">
      <c r="A26" s="105" t="str">
        <f>IF('PB Liquefaction Initiation'!A26="","",'PB Liquefaction Initiation'!A26)</f>
        <v/>
      </c>
      <c r="B26" s="35" t="str">
        <f>'PB Liquefaction Initiation'!B26</f>
        <v/>
      </c>
      <c r="C26" s="35" t="str">
        <f>IF('PB Liquefaction Initiation'!C26="","",'PB Liquefaction Initiation'!C26)</f>
        <v/>
      </c>
      <c r="D26" s="10" t="str">
        <f>IF('PB Liquefaction Initiation'!D26="","",'PB Liquefaction Initiation'!D26)</f>
        <v/>
      </c>
      <c r="E26" s="108" t="str">
        <f>IF('PB Liquefaction Initiation'!E26="","",'PB Liquefaction Initiation'!E26)</f>
        <v/>
      </c>
      <c r="F26" s="92" t="e">
        <f>IF(OR('PB Liquefaction Initiation'!F26="",Method_BI=FALSE),NA(),'PB Liquefaction Initiation'!F26)</f>
        <v>#N/A</v>
      </c>
      <c r="G26" s="17" t="str">
        <f>IF('PB Liquefaction Initiation'!G26="","",'PB Liquefaction Initiation'!G26)</f>
        <v/>
      </c>
      <c r="H26" s="17" t="str">
        <f>IF('PB Liquefaction Initiation'!H26="","",'PB Liquefaction Initiation'!H26)</f>
        <v/>
      </c>
      <c r="I26" s="93" t="str">
        <f t="shared" si="5"/>
        <v/>
      </c>
      <c r="J26" s="93" t="str">
        <f t="shared" si="6"/>
        <v/>
      </c>
      <c r="K26" s="93" t="str">
        <f t="shared" si="7"/>
        <v/>
      </c>
      <c r="L26" s="93" t="str">
        <f t="shared" si="0"/>
        <v/>
      </c>
      <c r="M26" s="93" t="str">
        <f t="shared" si="8"/>
        <v/>
      </c>
      <c r="N26" s="93" t="str">
        <f t="shared" si="9"/>
        <v/>
      </c>
      <c r="O26" s="227">
        <f>IF(Inputs!H29="",1,Inputs!H29)</f>
        <v>1</v>
      </c>
      <c r="P26" s="85" t="e">
        <v>#N/A</v>
      </c>
      <c r="Q26" s="19" t="e">
        <f t="shared" si="1"/>
        <v>#N/A</v>
      </c>
      <c r="R26" s="19" t="e">
        <f t="shared" si="2"/>
        <v>#N/A</v>
      </c>
      <c r="S26" s="87" t="e">
        <f>IF(OR(A26&lt;$B$4,A26="",Inputs!J29="No",Method_BI=FALSE),NA(),0.65*($B$2*$B$3)*G26/H26*K26/L26/N26)</f>
        <v>#N/A</v>
      </c>
      <c r="T26" s="86" t="e">
        <f t="shared" si="3"/>
        <v>#N/A</v>
      </c>
      <c r="U26" t="e">
        <f t="shared" si="4"/>
        <v>#N/A</v>
      </c>
    </row>
    <row r="27" spans="1:21" x14ac:dyDescent="0.25">
      <c r="A27" s="105" t="str">
        <f>IF('PB Liquefaction Initiation'!A27="","",'PB Liquefaction Initiation'!A27)</f>
        <v/>
      </c>
      <c r="B27" s="35" t="str">
        <f>'PB Liquefaction Initiation'!B27</f>
        <v/>
      </c>
      <c r="C27" s="35" t="str">
        <f>IF('PB Liquefaction Initiation'!C27="","",'PB Liquefaction Initiation'!C27)</f>
        <v/>
      </c>
      <c r="D27" s="10" t="str">
        <f>IF('PB Liquefaction Initiation'!D27="","",'PB Liquefaction Initiation'!D27)</f>
        <v/>
      </c>
      <c r="E27" s="108" t="str">
        <f>IF('PB Liquefaction Initiation'!E27="","",'PB Liquefaction Initiation'!E27)</f>
        <v/>
      </c>
      <c r="F27" s="92" t="e">
        <f>IF(OR('PB Liquefaction Initiation'!F27="",Method_BI=FALSE),NA(),'PB Liquefaction Initiation'!F27)</f>
        <v>#N/A</v>
      </c>
      <c r="G27" s="17" t="str">
        <f>IF('PB Liquefaction Initiation'!G27="","",'PB Liquefaction Initiation'!G27)</f>
        <v/>
      </c>
      <c r="H27" s="17" t="str">
        <f>IF('PB Liquefaction Initiation'!H27="","",'PB Liquefaction Initiation'!H27)</f>
        <v/>
      </c>
      <c r="I27" s="93" t="str">
        <f t="shared" si="5"/>
        <v/>
      </c>
      <c r="J27" s="93" t="str">
        <f t="shared" si="6"/>
        <v/>
      </c>
      <c r="K27" s="93" t="str">
        <f t="shared" si="7"/>
        <v/>
      </c>
      <c r="L27" s="93" t="str">
        <f t="shared" si="0"/>
        <v/>
      </c>
      <c r="M27" s="93" t="str">
        <f t="shared" si="8"/>
        <v/>
      </c>
      <c r="N27" s="93" t="str">
        <f t="shared" si="9"/>
        <v/>
      </c>
      <c r="O27" s="227">
        <f>IF(Inputs!H30="",1,Inputs!H30)</f>
        <v>1</v>
      </c>
      <c r="P27" s="85" t="e">
        <v>#N/A</v>
      </c>
      <c r="Q27" s="19" t="e">
        <f t="shared" si="1"/>
        <v>#N/A</v>
      </c>
      <c r="R27" s="19" t="e">
        <f t="shared" si="2"/>
        <v>#N/A</v>
      </c>
      <c r="S27" s="87" t="e">
        <f>IF(OR(A27&lt;$B$4,A27="",Inputs!J30="No",Method_BI=FALSE),NA(),0.65*($B$2*$B$3)*G27/H27*K27/L27/N27)</f>
        <v>#N/A</v>
      </c>
      <c r="T27" s="86" t="e">
        <f t="shared" si="3"/>
        <v>#N/A</v>
      </c>
      <c r="U27" t="e">
        <f t="shared" si="4"/>
        <v>#N/A</v>
      </c>
    </row>
    <row r="28" spans="1:21" x14ac:dyDescent="0.25">
      <c r="A28" s="105" t="str">
        <f>IF('PB Liquefaction Initiation'!A28="","",'PB Liquefaction Initiation'!A28)</f>
        <v/>
      </c>
      <c r="B28" s="35" t="str">
        <f>'PB Liquefaction Initiation'!B28</f>
        <v/>
      </c>
      <c r="C28" s="35" t="str">
        <f>IF('PB Liquefaction Initiation'!C28="","",'PB Liquefaction Initiation'!C28)</f>
        <v/>
      </c>
      <c r="D28" s="10" t="str">
        <f>IF('PB Liquefaction Initiation'!D28="","",'PB Liquefaction Initiation'!D28)</f>
        <v/>
      </c>
      <c r="E28" s="108" t="str">
        <f>IF('PB Liquefaction Initiation'!E28="","",'PB Liquefaction Initiation'!E28)</f>
        <v/>
      </c>
      <c r="F28" s="92" t="e">
        <f>IF(OR('PB Liquefaction Initiation'!F28="",Method_BI=FALSE),NA(),'PB Liquefaction Initiation'!F28)</f>
        <v>#N/A</v>
      </c>
      <c r="G28" s="17" t="str">
        <f>IF('PB Liquefaction Initiation'!G28="","",'PB Liquefaction Initiation'!G28)</f>
        <v/>
      </c>
      <c r="H28" s="17" t="str">
        <f>IF('PB Liquefaction Initiation'!H28="","",'PB Liquefaction Initiation'!H28)</f>
        <v/>
      </c>
      <c r="I28" s="93" t="str">
        <f t="shared" si="5"/>
        <v/>
      </c>
      <c r="J28" s="93" t="str">
        <f t="shared" si="6"/>
        <v/>
      </c>
      <c r="K28" s="93" t="str">
        <f t="shared" si="7"/>
        <v/>
      </c>
      <c r="L28" s="93" t="str">
        <f t="shared" si="0"/>
        <v/>
      </c>
      <c r="M28" s="93" t="str">
        <f t="shared" si="8"/>
        <v/>
      </c>
      <c r="N28" s="93" t="str">
        <f t="shared" si="9"/>
        <v/>
      </c>
      <c r="O28" s="227">
        <f>IF(Inputs!H31="",1,Inputs!H31)</f>
        <v>1</v>
      </c>
      <c r="P28" s="85" t="e">
        <v>#N/A</v>
      </c>
      <c r="Q28" s="19" t="e">
        <f t="shared" si="1"/>
        <v>#N/A</v>
      </c>
      <c r="R28" s="19" t="e">
        <f t="shared" si="2"/>
        <v>#N/A</v>
      </c>
      <c r="S28" s="87" t="e">
        <f>IF(OR(A28&lt;$B$4,A28="",Inputs!J31="No",Method_BI=FALSE),NA(),0.65*($B$2*$B$3)*G28/H28*K28/L28/N28)</f>
        <v>#N/A</v>
      </c>
      <c r="T28" s="86" t="e">
        <f t="shared" si="3"/>
        <v>#N/A</v>
      </c>
      <c r="U28" t="e">
        <f t="shared" si="4"/>
        <v>#N/A</v>
      </c>
    </row>
    <row r="29" spans="1:21" ht="16.5" thickBot="1" x14ac:dyDescent="0.3">
      <c r="A29" s="106" t="str">
        <f>IF('PB Liquefaction Initiation'!A29="","",'PB Liquefaction Initiation'!A29)</f>
        <v/>
      </c>
      <c r="B29" s="45" t="str">
        <f>'PB Liquefaction Initiation'!B29</f>
        <v/>
      </c>
      <c r="C29" s="45" t="str">
        <f>IF('PB Liquefaction Initiation'!C29="","",'PB Liquefaction Initiation'!C29)</f>
        <v/>
      </c>
      <c r="D29" s="11" t="str">
        <f>IF('PB Liquefaction Initiation'!D29="","",'PB Liquefaction Initiation'!D29)</f>
        <v/>
      </c>
      <c r="E29" s="109" t="str">
        <f>IF('PB Liquefaction Initiation'!E29="","",'PB Liquefaction Initiation'!E29)</f>
        <v/>
      </c>
      <c r="F29" s="94" t="e">
        <f>IF(OR('PB Liquefaction Initiation'!F29="",Method_BI=FALSE),NA(),'PB Liquefaction Initiation'!F29)</f>
        <v>#N/A</v>
      </c>
      <c r="G29" s="20" t="str">
        <f>IF('PB Liquefaction Initiation'!G29="","",'PB Liquefaction Initiation'!G29)</f>
        <v/>
      </c>
      <c r="H29" s="20" t="str">
        <f>IF('PB Liquefaction Initiation'!H29="","",'PB Liquefaction Initiation'!H29)</f>
        <v/>
      </c>
      <c r="I29" s="135" t="str">
        <f t="shared" si="5"/>
        <v/>
      </c>
      <c r="J29" s="135" t="str">
        <f t="shared" si="6"/>
        <v/>
      </c>
      <c r="K29" s="135" t="str">
        <f t="shared" si="7"/>
        <v/>
      </c>
      <c r="L29" s="135" t="str">
        <f t="shared" si="0"/>
        <v/>
      </c>
      <c r="M29" s="135" t="str">
        <f t="shared" si="8"/>
        <v/>
      </c>
      <c r="N29" s="135" t="str">
        <f t="shared" si="9"/>
        <v/>
      </c>
      <c r="O29" s="229">
        <f>IF(Inputs!H32="",1,Inputs!H32)</f>
        <v>1</v>
      </c>
      <c r="P29" s="120" t="e">
        <v>#N/A</v>
      </c>
      <c r="Q29" s="130" t="e">
        <f t="shared" si="1"/>
        <v>#N/A</v>
      </c>
      <c r="R29" s="130" t="e">
        <f t="shared" si="2"/>
        <v>#N/A</v>
      </c>
      <c r="S29" s="122" t="e">
        <f>IF(OR(A29&lt;$B$4,A29="",Inputs!J32="No",Method_BI=FALSE),NA(),0.65*($B$2*$B$3)*G29/H29*K29/L29/N29)</f>
        <v>#N/A</v>
      </c>
      <c r="T29" s="123" t="e">
        <f t="shared" si="3"/>
        <v>#N/A</v>
      </c>
      <c r="U29" t="e">
        <f t="shared" si="4"/>
        <v>#N/A</v>
      </c>
    </row>
    <row r="30" spans="1:21" x14ac:dyDescent="0.25">
      <c r="P30">
        <v>1</v>
      </c>
    </row>
    <row r="34" spans="1:38" x14ac:dyDescent="0.25">
      <c r="A34" s="2" t="s">
        <v>148</v>
      </c>
    </row>
    <row r="36" spans="1:38" ht="18.75" x14ac:dyDescent="0.35">
      <c r="A36" s="28" t="s">
        <v>21</v>
      </c>
      <c r="B36" s="5">
        <f>IF(PGA_det="",NA(),PGA_det)</f>
        <v>0.73</v>
      </c>
      <c r="C36" t="s">
        <v>22</v>
      </c>
      <c r="D36" t="s">
        <v>153</v>
      </c>
      <c r="E36" s="82">
        <f>B36*B37</f>
        <v>0.73</v>
      </c>
    </row>
    <row r="37" spans="1:38" ht="16.5" x14ac:dyDescent="0.3">
      <c r="A37" s="28" t="s">
        <v>67</v>
      </c>
      <c r="B37" s="5">
        <f>IF(Fpga_det="",NA(),Fpga_det)</f>
        <v>1</v>
      </c>
    </row>
    <row r="38" spans="1:38" x14ac:dyDescent="0.25">
      <c r="A38" s="28" t="s">
        <v>38</v>
      </c>
      <c r="B38" s="270">
        <f>'PB Liquefaction Initiation'!B38</f>
        <v>0</v>
      </c>
      <c r="C38" t="s">
        <v>23</v>
      </c>
    </row>
    <row r="39" spans="1:38" ht="16.5" x14ac:dyDescent="0.3">
      <c r="A39" s="28" t="s">
        <v>68</v>
      </c>
      <c r="B39" s="270">
        <f>'PB Liquefaction Initiation'!B39</f>
        <v>189.8904</v>
      </c>
      <c r="C39" t="s">
        <v>32</v>
      </c>
      <c r="AE39" s="81"/>
      <c r="AF39" s="81"/>
      <c r="AG39" s="81"/>
      <c r="AH39" s="81"/>
      <c r="AI39" s="81"/>
      <c r="AJ39" s="81"/>
      <c r="AK39" s="81"/>
      <c r="AL39" s="81"/>
    </row>
    <row r="40" spans="1:38" x14ac:dyDescent="0.25">
      <c r="A40" s="28"/>
      <c r="B40" s="5"/>
      <c r="AE40" s="81"/>
      <c r="AF40" s="81"/>
      <c r="AG40" s="81"/>
      <c r="AH40" s="81"/>
      <c r="AI40" s="81"/>
      <c r="AJ40" s="81"/>
      <c r="AK40" s="81"/>
      <c r="AL40" s="81"/>
    </row>
    <row r="41" spans="1:38" ht="17.25" thickBot="1" x14ac:dyDescent="0.35">
      <c r="A41" s="28" t="s">
        <v>151</v>
      </c>
      <c r="B41" s="5">
        <f>Mw_det</f>
        <v>6.8</v>
      </c>
      <c r="AE41" s="81"/>
      <c r="AF41" s="81"/>
      <c r="AG41" s="81"/>
      <c r="AH41" s="81"/>
      <c r="AI41" s="81"/>
      <c r="AJ41" s="81"/>
      <c r="AK41" s="81"/>
      <c r="AL41" s="81"/>
    </row>
    <row r="42" spans="1:38" ht="18.75" x14ac:dyDescent="0.35">
      <c r="A42" s="3" t="s">
        <v>33</v>
      </c>
      <c r="B42" s="4" t="s">
        <v>10</v>
      </c>
      <c r="C42" s="24" t="s">
        <v>39</v>
      </c>
      <c r="D42" s="4" t="s">
        <v>11</v>
      </c>
      <c r="E42" s="24" t="s">
        <v>12</v>
      </c>
      <c r="F42" s="4" t="s">
        <v>26</v>
      </c>
      <c r="G42" s="24" t="s">
        <v>46</v>
      </c>
      <c r="H42" s="24" t="s">
        <v>47</v>
      </c>
      <c r="I42" s="83" t="s">
        <v>152</v>
      </c>
      <c r="J42" s="225" t="s">
        <v>210</v>
      </c>
      <c r="K42" s="134" t="s">
        <v>30</v>
      </c>
      <c r="L42" s="12" t="s">
        <v>29</v>
      </c>
      <c r="M42" s="136" t="s">
        <v>31</v>
      </c>
      <c r="N42" s="137" t="s">
        <v>91</v>
      </c>
      <c r="O42" s="138" t="s">
        <v>142</v>
      </c>
      <c r="AE42" s="81"/>
      <c r="AF42" s="81"/>
      <c r="AG42" s="81"/>
      <c r="AH42" s="81"/>
      <c r="AI42" s="81"/>
      <c r="AJ42" s="81"/>
      <c r="AK42" s="81"/>
      <c r="AL42" s="81"/>
    </row>
    <row r="43" spans="1:38" x14ac:dyDescent="0.25">
      <c r="A43" s="105">
        <f>IF('PB Liquefaction Initiation'!A10="","",'PB Liquefaction Initiation'!A10)</f>
        <v>0.4572</v>
      </c>
      <c r="B43" s="35">
        <f>IF('PB Liquefaction Initiation'!B43="","",'PB Liquefaction Initiation'!B43)</f>
        <v>30.800000000000004</v>
      </c>
      <c r="C43" s="35">
        <f>IF('PB Liquefaction Initiation'!C10="","",'PB Liquefaction Initiation'!C10)</f>
        <v>19.527529999999999</v>
      </c>
      <c r="D43" s="111">
        <f>IF('PB Liquefaction Initiation'!D10="","",'PB Liquefaction Initiation'!D10)</f>
        <v>10</v>
      </c>
      <c r="E43" s="35">
        <f>IF('PB Liquefaction Initiation'!E10="","",'PB Liquefaction Initiation'!E10)</f>
        <v>0.91439999999999999</v>
      </c>
      <c r="F43" s="17">
        <f t="shared" ref="F43:F62" si="10">IF(OR(A43="",Method_Cetin=FALSE),NA(),IF(D43&lt;5,B43,IF(D43&gt;35,B43*(1+0.004*35)+0.06*35,B43*(1+0.004*D43)+0.06*D43)))</f>
        <v>32.632000000000005</v>
      </c>
      <c r="G43" s="17">
        <f>IF(A43="","",C43*A43)</f>
        <v>8.9279867159999995</v>
      </c>
      <c r="H43" s="17">
        <f>IF(A43="","",IF(A43&lt;$B$4,G43,G43-(A43-$B$4)*9.81))</f>
        <v>4.4428547159999994</v>
      </c>
      <c r="I43" s="30">
        <f>IF(OR(A43&lt;$B$38,A43=""),"",IF(A43&lt;20,(1+((-23.013)-2.949*$E$36+0.999*$B$41+0.0525*$B$39)/(16.258+0.201*EXP(0.341*((-A43*0.3048)+0.0785*$B$39+7.586))))/(1+((-23.013)-2.949*$E$36+0.999*$B$41+0.0525*$B$39)/(16.258+0.201*EXP(0.341*(0.0785*$B$39+7.586)))),(1+((-23.013)-2.949*$E$36+0.999*$B$41+0.0525*$B$39)/(16.258+0.201*EXP(0.341*((-20*0.3048)+0.0785*$B$39+7.586))))/(1+((-23.013)-2.949*$E$36+0.999*$B$41+0.0525*$B$39)/(16.258+0.201*EXP(0.341*(0.0785*$B$39+7.586))))-0.0046*(A43-20)))</f>
        <v>0.99910301707519145</v>
      </c>
      <c r="J43" s="226">
        <f>IF(Inputs!H13="",1,Inputs!H13)</f>
        <v>1</v>
      </c>
      <c r="K43" s="85">
        <f>IF(OR(A43&lt;$B$38,A43="",Inputs!J13="No",Method_Cetin=FALSE),NA(),13.79*LN(0.65*$B$37*$B$36*G43/H43*I43)+29.06*LN($B$41)+3.82*LN(H43/101.325)-15.25-4.21*_xlfn.NORM.S.INV(1-Percentile_Liq/100))</f>
        <v>32.02838398000322</v>
      </c>
      <c r="L43" s="19">
        <f t="shared" ref="L43:L62" si="11">IF(OR(A43&lt;$B$38,A43="",Method_Cetin=FALSE),NA(),O43/N43)</f>
        <v>1.6810605542142403</v>
      </c>
      <c r="M43" s="87">
        <f t="shared" ref="M43:M62" si="12">IF(OR(A43&lt;$B$38,A43="",Method_Cetin=FALSE),NA(),_xlfn.NORM.S.DIST(-(B43*(1+0.004*D43)-13.79*LN(N43)-29.06*LN($B$41)-3.82*LN(H43/101.325)+0.06*D43+16.85)/4.21,TRUE))</f>
        <v>6.4522059586467645E-2</v>
      </c>
      <c r="N43" s="19">
        <f>IF(OR(A43&lt;$B$38,A43="",Inputs!J13="No",Method_Cetin=FALSE),NA(),$E$36*0.65*G43/H43*I43)</f>
        <v>0.95265995669352044</v>
      </c>
      <c r="O43" s="86">
        <f t="shared" ref="O43:O62" si="13">IF(OR(A43="",Method_Cetin=FALSE),NA(),J43*EXP((F43-29.06*LN($B$41)-3.82*LN(H43/101.325)+15.25+4.21*_xlfn.NORM.S.DIST((1-Percentile_Liq/100),TRUE))/13.79))</f>
        <v>1.6014790747769236</v>
      </c>
      <c r="AE43" s="81"/>
      <c r="AF43" s="81"/>
      <c r="AG43" s="81"/>
      <c r="AH43" s="81"/>
      <c r="AI43" s="81"/>
      <c r="AJ43" s="81"/>
      <c r="AK43" s="81"/>
      <c r="AL43" s="81"/>
    </row>
    <row r="44" spans="1:38" x14ac:dyDescent="0.25">
      <c r="A44" s="105">
        <f>IF('PB Liquefaction Initiation'!A11="","",'PB Liquefaction Initiation'!A11)</f>
        <v>1.6763999999999999</v>
      </c>
      <c r="B44" s="35">
        <f>IF('PB Liquefaction Initiation'!B44="","",'PB Liquefaction Initiation'!B44)</f>
        <v>9.6360496090214056</v>
      </c>
      <c r="C44" s="35">
        <f>IF('PB Liquefaction Initiation'!C11="","",'PB Liquefaction Initiation'!C11)</f>
        <v>19.527529999999999</v>
      </c>
      <c r="D44" s="10">
        <f>IF('PB Liquefaction Initiation'!D11="","",'PB Liquefaction Initiation'!D11)</f>
        <v>10</v>
      </c>
      <c r="E44" s="35">
        <f>IF('PB Liquefaction Initiation'!E11="","",'PB Liquefaction Initiation'!E11)</f>
        <v>1.524</v>
      </c>
      <c r="F44" s="17">
        <f t="shared" si="10"/>
        <v>10.621491593382261</v>
      </c>
      <c r="G44" s="17">
        <f t="shared" ref="G44:G62" si="14">IF(A44="","",C44*A44)</f>
        <v>32.735951291999996</v>
      </c>
      <c r="H44" s="17">
        <f t="shared" ref="H44:H62" si="15">IF(A44="","",IF(A44&lt;$B$4,G44,G44-(A44-$B$4)*9.81))</f>
        <v>16.290467291999995</v>
      </c>
      <c r="I44" s="30">
        <f t="shared" ref="I44:I62" si="16">IF(OR(A44&lt;$B$38,A44=""),"",IF(A44&lt;20,(1+((-23.013)-2.949*$E$36+0.999*$B$41+0.0525*$B$39)/(16.258+0.201*EXP(0.341*((-A44*0.3048)+0.0785*$B$39+7.586))))/(1+((-23.013)-2.949*$E$36+0.999*$B$41+0.0525*$B$39)/(16.258+0.201*EXP(0.341*(0.0785*$B$39+7.586)))),(1+((-23.013)-2.949*$E$36+0.999*$B$41+0.0525*$B$39)/(16.258+0.201*EXP(0.341*((-20*0.3048)+0.0785*$B$39+7.586))))/(1+((-23.013)-2.949*$E$36+0.999*$B$41+0.0525*$B$39)/(16.258+0.201*EXP(0.341*(0.0785*$B$39+7.586))))-0.0046*(A44-20)))</f>
        <v>0.99650978221041719</v>
      </c>
      <c r="J44" s="227">
        <f>IF(Inputs!H14="",1,Inputs!H14)</f>
        <v>1</v>
      </c>
      <c r="K44" s="85">
        <f>IF(OR(A44&lt;$B$38,A44="",Inputs!J14="No",Method_Cetin=FALSE),NA(),13.79*LN(0.65*$B$37*$B$36*G44/H44*I44)+29.06*LN($B$41)+3.82*LN(H44/101.325)-15.25-4.21*_xlfn.NORM.S.INV(1-Percentile_Liq/100))</f>
        <v>36.955805633264397</v>
      </c>
      <c r="L44" s="19">
        <f t="shared" si="11"/>
        <v>0.23835012409072004</v>
      </c>
      <c r="M44" s="87">
        <f t="shared" si="12"/>
        <v>0.99999947138618306</v>
      </c>
      <c r="N44" s="19">
        <f>IF(OR(A44&lt;$B$38,A44="",Inputs!J14="No",Method_Cetin=FALSE),NA(),$E$36*0.65*G44/H44*I44)</f>
        <v>0.9501872677197607</v>
      </c>
      <c r="O44" s="86">
        <f t="shared" si="13"/>
        <v>0.22647725317042719</v>
      </c>
      <c r="AE44" s="81"/>
      <c r="AF44" s="81"/>
      <c r="AG44" s="81"/>
      <c r="AH44" s="81"/>
      <c r="AI44" s="81"/>
      <c r="AJ44" s="81"/>
      <c r="AK44" s="81"/>
      <c r="AL44" s="81"/>
    </row>
    <row r="45" spans="1:38" x14ac:dyDescent="0.25">
      <c r="A45" s="105">
        <f>IF('PB Liquefaction Initiation'!A12="","",'PB Liquefaction Initiation'!A12)</f>
        <v>3.2004000000000001</v>
      </c>
      <c r="B45" s="35">
        <f>IF('PB Liquefaction Initiation'!B45="","",'PB Liquefaction Initiation'!B45)</f>
        <v>12.235900757697163</v>
      </c>
      <c r="C45" s="35">
        <f>IF('PB Liquefaction Initiation'!C12="","",'PB Liquefaction Initiation'!C12)</f>
        <v>19.527529999999999</v>
      </c>
      <c r="D45" s="10">
        <f>IF('PB Liquefaction Initiation'!D12="","",'PB Liquefaction Initiation'!D12)</f>
        <v>10</v>
      </c>
      <c r="E45" s="35">
        <f>IF('PB Liquefaction Initiation'!E12="","",'PB Liquefaction Initiation'!E12)</f>
        <v>1.524</v>
      </c>
      <c r="F45" s="17">
        <f t="shared" si="10"/>
        <v>13.32533678800505</v>
      </c>
      <c r="G45" s="17">
        <f t="shared" si="14"/>
        <v>62.495907011999996</v>
      </c>
      <c r="H45" s="17">
        <f t="shared" si="15"/>
        <v>31.099983011999992</v>
      </c>
      <c r="I45" s="30">
        <f t="shared" si="16"/>
        <v>0.99281655092850041</v>
      </c>
      <c r="J45" s="227">
        <f>IF(Inputs!H15="",1,Inputs!H15)</f>
        <v>1</v>
      </c>
      <c r="K45" s="85">
        <f>IF(OR(A45&lt;$B$38,A45="",Inputs!J15="No",Method_Cetin=FALSE),NA(),13.79*LN(0.65*$B$37*$B$36*G45/H45*I45)+29.06*LN($B$41)+3.82*LN(H45/101.325)-15.25-4.21*_xlfn.NORM.S.INV(1-Percentile_Liq/100))</f>
        <v>39.374718423613992</v>
      </c>
      <c r="L45" s="19">
        <f t="shared" si="11"/>
        <v>0.24332620501597385</v>
      </c>
      <c r="M45" s="87">
        <f t="shared" si="12"/>
        <v>0.99999925657936395</v>
      </c>
      <c r="N45" s="19">
        <f>IF(OR(A45&lt;$B$38,A45="",Inputs!J15="No",Method_Cetin=FALSE),NA(),$E$36*0.65*G45/H45*I45)</f>
        <v>0.94666571539436606</v>
      </c>
      <c r="O45" s="86">
        <f t="shared" si="13"/>
        <v>0.23034857594564306</v>
      </c>
      <c r="AE45" s="81"/>
      <c r="AF45" s="81"/>
      <c r="AG45" s="81"/>
      <c r="AH45" s="81"/>
      <c r="AI45" s="81"/>
      <c r="AJ45" s="81"/>
      <c r="AK45" s="81"/>
      <c r="AL45" s="81"/>
    </row>
    <row r="46" spans="1:38" x14ac:dyDescent="0.25">
      <c r="A46" s="105">
        <f>IF('PB Liquefaction Initiation'!A13="","",'PB Liquefaction Initiation'!A13)</f>
        <v>4.5720000000000001</v>
      </c>
      <c r="B46" s="35">
        <f>IF('PB Liquefaction Initiation'!B46="","",'PB Liquefaction Initiation'!B46)</f>
        <v>1.6947589772898803</v>
      </c>
      <c r="C46" s="35">
        <f>IF('PB Liquefaction Initiation'!C13="","",'PB Liquefaction Initiation'!C13)</f>
        <v>19.527529999999999</v>
      </c>
      <c r="D46" s="10">
        <f>IF('PB Liquefaction Initiation'!D13="","",'PB Liquefaction Initiation'!D13)</f>
        <v>60</v>
      </c>
      <c r="E46" s="35">
        <f>IF('PB Liquefaction Initiation'!E13="","",'PB Liquefaction Initiation'!E13)</f>
        <v>1.2192000000000001</v>
      </c>
      <c r="F46" s="17">
        <f t="shared" si="10"/>
        <v>4.0320252341104634</v>
      </c>
      <c r="G46" s="17">
        <f t="shared" si="14"/>
        <v>89.279867159999995</v>
      </c>
      <c r="H46" s="17">
        <f t="shared" si="15"/>
        <v>44.428547159999994</v>
      </c>
      <c r="I46" s="30">
        <f t="shared" si="16"/>
        <v>0.98901109419727962</v>
      </c>
      <c r="J46" s="227">
        <f>IF(Inputs!H16="",1,Inputs!H16)</f>
        <v>1</v>
      </c>
      <c r="K46" s="85" t="e">
        <f>IF(OR(A46&lt;$B$38,A46="",Inputs!J16="No",Method_Cetin=FALSE),NA(),13.79*LN(0.65*$B$37*$B$36*G46/H46*I46)+29.06*LN($B$41)+3.82*LN(H46/101.325)-15.25-4.21*_xlfn.NORM.S.INV(1-Percentile_Liq/100))</f>
        <v>#N/A</v>
      </c>
      <c r="L46" s="19" t="e">
        <f t="shared" si="11"/>
        <v>#N/A</v>
      </c>
      <c r="M46" s="87" t="e">
        <f t="shared" si="12"/>
        <v>#N/A</v>
      </c>
      <c r="N46" s="19" t="e">
        <f>IF(OR(A46&lt;$B$38,A46="",Inputs!J16="No",Method_Cetin=FALSE),NA(),$E$36*0.65*G46/H46*I46)</f>
        <v>#N/A</v>
      </c>
      <c r="O46" s="86">
        <f t="shared" si="13"/>
        <v>0.10636468711797432</v>
      </c>
      <c r="AE46" s="81"/>
      <c r="AF46" s="81"/>
      <c r="AG46" s="81"/>
      <c r="AH46" s="81"/>
      <c r="AI46" s="81"/>
      <c r="AJ46" s="81"/>
      <c r="AK46" s="81"/>
      <c r="AL46" s="81"/>
    </row>
    <row r="47" spans="1:38" x14ac:dyDescent="0.25">
      <c r="A47" s="105">
        <f>IF('PB Liquefaction Initiation'!A14="","",'PB Liquefaction Initiation'!A14)</f>
        <v>6.2484000000000002</v>
      </c>
      <c r="B47" s="35">
        <f>IF('PB Liquefaction Initiation'!B47="","",'PB Liquefaction Initiation'!B47)</f>
        <v>20.814634562240858</v>
      </c>
      <c r="C47" s="35">
        <f>IF('PB Liquefaction Initiation'!C14="","",'PB Liquefaction Initiation'!C14)</f>
        <v>19.527529999999999</v>
      </c>
      <c r="D47" s="10">
        <f>IF('PB Liquefaction Initiation'!D14="","",'PB Liquefaction Initiation'!D14)</f>
        <v>10</v>
      </c>
      <c r="E47" s="35">
        <f>IF('PB Liquefaction Initiation'!E14="","",'PB Liquefaction Initiation'!E14)</f>
        <v>2.1335999999999999</v>
      </c>
      <c r="F47" s="17">
        <f t="shared" si="10"/>
        <v>22.247219944730496</v>
      </c>
      <c r="G47" s="17">
        <f t="shared" si="14"/>
        <v>122.01581845199999</v>
      </c>
      <c r="H47" s="17">
        <f t="shared" si="15"/>
        <v>60.719014451999989</v>
      </c>
      <c r="I47" s="30">
        <f t="shared" si="16"/>
        <v>0.98365917097895583</v>
      </c>
      <c r="J47" s="227">
        <f>IF(Inputs!H17="",1,Inputs!H17)</f>
        <v>1</v>
      </c>
      <c r="K47" s="85">
        <f>IF(OR(A47&lt;$B$38,A47="",Inputs!J17="No",Method_Cetin=FALSE),NA(),13.79*LN(0.65*$B$37*$B$36*G47/H47*I47)+29.06*LN($B$41)+3.82*LN(H47/101.325)-15.25-4.21*_xlfn.NORM.S.INV(1-Percentile_Liq/100))</f>
        <v>41.802703817817168</v>
      </c>
      <c r="L47" s="19">
        <f t="shared" si="11"/>
        <v>0.38967633874842733</v>
      </c>
      <c r="M47" s="87">
        <f t="shared" si="12"/>
        <v>0.99946321733094867</v>
      </c>
      <c r="N47" s="19">
        <f>IF(OR(A47&lt;$B$38,A47="",Inputs!J17="No",Method_Cetin=FALSE),NA(),$E$36*0.65*G47/H47*I47)</f>
        <v>0.93793401402117049</v>
      </c>
      <c r="O47" s="86">
        <f t="shared" si="13"/>
        <v>0.36549069257138583</v>
      </c>
      <c r="AE47" s="81"/>
      <c r="AF47" s="81"/>
      <c r="AG47" s="81"/>
      <c r="AH47" s="81"/>
      <c r="AI47" s="81"/>
      <c r="AJ47" s="81"/>
      <c r="AK47" s="81"/>
      <c r="AL47" s="81"/>
    </row>
    <row r="48" spans="1:38" x14ac:dyDescent="0.25">
      <c r="A48" s="105">
        <f>IF('PB Liquefaction Initiation'!A15="","",'PB Liquefaction Initiation'!A15)</f>
        <v>7.7724000000000002</v>
      </c>
      <c r="B48" s="35">
        <f>IF('PB Liquefaction Initiation'!B48="","",'PB Liquefaction Initiation'!B48)</f>
        <v>28.679310145415499</v>
      </c>
      <c r="C48" s="35">
        <f>IF('PB Liquefaction Initiation'!C15="","",'PB Liquefaction Initiation'!C15)</f>
        <v>19.527529999999999</v>
      </c>
      <c r="D48" s="10">
        <f>IF('PB Liquefaction Initiation'!D15="","",'PB Liquefaction Initiation'!D15)</f>
        <v>10</v>
      </c>
      <c r="E48" s="35">
        <f>IF('PB Liquefaction Initiation'!E15="","",'PB Liquefaction Initiation'!E15)</f>
        <v>0.91439999999999999</v>
      </c>
      <c r="F48" s="17">
        <f t="shared" si="10"/>
        <v>30.426482551232123</v>
      </c>
      <c r="G48" s="17">
        <f t="shared" si="14"/>
        <v>151.77577417199998</v>
      </c>
      <c r="H48" s="17">
        <f t="shared" si="15"/>
        <v>75.528530171999975</v>
      </c>
      <c r="I48" s="30">
        <f t="shared" si="16"/>
        <v>0.97804153841327601</v>
      </c>
      <c r="J48" s="227">
        <f>IF(Inputs!H18="",1,Inputs!H18)</f>
        <v>1</v>
      </c>
      <c r="K48" s="85">
        <f>IF(OR(A48&lt;$B$38,A48="",Inputs!J18="No",Method_Cetin=FALSE),NA(),13.79*LN(0.65*$B$37*$B$36*G48/H48*I48)+29.06*LN($B$41)+3.82*LN(H48/101.325)-15.25-4.21*_xlfn.NORM.S.INV(1-Percentile_Liq/100))</f>
        <v>42.55745264001893</v>
      </c>
      <c r="L48" s="19">
        <f t="shared" si="11"/>
        <v>0.6676171516200663</v>
      </c>
      <c r="M48" s="87">
        <f t="shared" si="12"/>
        <v>0.93408956914845576</v>
      </c>
      <c r="N48" s="19">
        <f>IF(OR(A48&lt;$B$38,A48="",Inputs!J18="No",Method_Cetin=FALSE),NA(),$E$36*0.65*G48/H48*I48)</f>
        <v>0.93257751573693215</v>
      </c>
      <c r="O48" s="86">
        <f t="shared" si="13"/>
        <v>0.62260474472120819</v>
      </c>
      <c r="AE48" s="81"/>
      <c r="AF48" s="81"/>
      <c r="AG48" s="81"/>
      <c r="AH48" s="81"/>
      <c r="AI48" s="81"/>
      <c r="AJ48" s="81"/>
      <c r="AK48" s="81"/>
      <c r="AL48" s="81"/>
    </row>
    <row r="49" spans="1:38" x14ac:dyDescent="0.25">
      <c r="A49" s="105">
        <f>IF('PB Liquefaction Initiation'!A16="","",'PB Liquefaction Initiation'!A16)</f>
        <v>9.2964000000000002</v>
      </c>
      <c r="B49" s="35">
        <f>IF('PB Liquefaction Initiation'!B49="","",'PB Liquefaction Initiation'!B49)</f>
        <v>19.503974728605119</v>
      </c>
      <c r="C49" s="35">
        <f>IF('PB Liquefaction Initiation'!C16="","",'PB Liquefaction Initiation'!C16)</f>
        <v>19.527529999999999</v>
      </c>
      <c r="D49" s="10">
        <f>IF('PB Liquefaction Initiation'!D16="","",'PB Liquefaction Initiation'!D16)</f>
        <v>10</v>
      </c>
      <c r="E49" s="35">
        <f>IF('PB Liquefaction Initiation'!E16="","",'PB Liquefaction Initiation'!E16)</f>
        <v>2.1335999999999999</v>
      </c>
      <c r="F49" s="17">
        <f t="shared" si="10"/>
        <v>20.884133717749325</v>
      </c>
      <c r="G49" s="17">
        <f t="shared" si="14"/>
        <v>181.53572989200001</v>
      </c>
      <c r="H49" s="17">
        <f t="shared" si="15"/>
        <v>90.338045891999997</v>
      </c>
      <c r="I49" s="30">
        <f t="shared" si="16"/>
        <v>0.97162100701625675</v>
      </c>
      <c r="J49" s="227">
        <f>IF(Inputs!H19="",1,Inputs!H19)</f>
        <v>1</v>
      </c>
      <c r="K49" s="85">
        <f>IF(OR(A49&lt;$B$38,A49="",Inputs!J19="No",Method_Cetin=FALSE),NA(),13.79*LN(0.65*$B$37*$B$36*G49/H49*I49)+29.06*LN($B$41)+3.82*LN(H49/101.325)-15.25-4.21*_xlfn.NORM.S.INV(1-Percentile_Liq/100))</f>
        <v>43.150591476199544</v>
      </c>
      <c r="L49" s="19">
        <f t="shared" si="11"/>
        <v>0.32012983712466553</v>
      </c>
      <c r="M49" s="87">
        <f t="shared" si="12"/>
        <v>0.99995469276306848</v>
      </c>
      <c r="N49" s="19">
        <f>IF(OR(A49&lt;$B$38,A49="",Inputs!J19="No",Method_Cetin=FALSE),NA(),$E$36*0.65*G49/H49*I49)</f>
        <v>0.92645544117795442</v>
      </c>
      <c r="O49" s="86">
        <f t="shared" si="13"/>
        <v>0.29658602948755869</v>
      </c>
      <c r="AE49" s="81"/>
      <c r="AF49" s="81"/>
      <c r="AG49" s="81"/>
      <c r="AH49" s="81"/>
      <c r="AI49" s="81"/>
      <c r="AJ49" s="81"/>
      <c r="AK49" s="81"/>
      <c r="AL49" s="81"/>
    </row>
    <row r="50" spans="1:38" x14ac:dyDescent="0.25">
      <c r="A50" s="105">
        <f>IF('PB Liquefaction Initiation'!A17="","",'PB Liquefaction Initiation'!A17)</f>
        <v>10.820399999999999</v>
      </c>
      <c r="B50" s="35">
        <f>IF('PB Liquefaction Initiation'!B50="","",'PB Liquefaction Initiation'!B50)</f>
        <v>8.222572974280391</v>
      </c>
      <c r="C50" s="35">
        <f>IF('PB Liquefaction Initiation'!C17="","",'PB Liquefaction Initiation'!C17)</f>
        <v>19.527529999999999</v>
      </c>
      <c r="D50" s="10">
        <f>IF('PB Liquefaction Initiation'!D17="","",'PB Liquefaction Initiation'!D17)</f>
        <v>10</v>
      </c>
      <c r="E50" s="35">
        <f>IF('PB Liquefaction Initiation'!E17="","",'PB Liquefaction Initiation'!E17)</f>
        <v>0.91439999999999999</v>
      </c>
      <c r="F50" s="17">
        <f t="shared" si="10"/>
        <v>9.1514758932516074</v>
      </c>
      <c r="G50" s="17">
        <f t="shared" si="14"/>
        <v>211.29568561199997</v>
      </c>
      <c r="H50" s="17">
        <f t="shared" si="15"/>
        <v>105.14756161199998</v>
      </c>
      <c r="I50" s="30">
        <f t="shared" si="16"/>
        <v>0.96431116601021072</v>
      </c>
      <c r="J50" s="227">
        <f>IF(Inputs!H20="",1,Inputs!H20)</f>
        <v>1</v>
      </c>
      <c r="K50" s="85">
        <f>IF(OR(A50&lt;$B$38,A50="",Inputs!J20="No",Method_Cetin=FALSE),NA(),13.79*LN(0.65*$B$37*$B$36*G50/H50*I50)+29.06*LN($B$41)+3.82*LN(H50/101.325)-15.25-4.21*_xlfn.NORM.S.INV(1-Percentile_Liq/100))</f>
        <v>43.626351273603085</v>
      </c>
      <c r="L50" s="19">
        <f t="shared" si="11"/>
        <v>0.13208123927108129</v>
      </c>
      <c r="M50" s="87">
        <f t="shared" si="12"/>
        <v>0.9999999999952639</v>
      </c>
      <c r="N50" s="19">
        <f>IF(OR(A50&lt;$B$38,A50="",Inputs!J20="No",Method_Cetin=FALSE),NA(),$E$36*0.65*G50/H50*I50)</f>
        <v>0.91948539635050286</v>
      </c>
      <c r="O50" s="86">
        <f t="shared" si="13"/>
        <v>0.12144677064163578</v>
      </c>
      <c r="AE50" s="81"/>
      <c r="AF50" s="81"/>
      <c r="AG50" s="81"/>
      <c r="AH50" s="81"/>
      <c r="AI50" s="81"/>
      <c r="AJ50" s="81"/>
      <c r="AK50" s="81"/>
      <c r="AL50" s="81"/>
    </row>
    <row r="51" spans="1:38" x14ac:dyDescent="0.25">
      <c r="A51" s="105">
        <f>IF('PB Liquefaction Initiation'!A18="","",'PB Liquefaction Initiation'!A18)</f>
        <v>12.4968</v>
      </c>
      <c r="B51" s="35">
        <f>IF('PB Liquefaction Initiation'!B51="","",'PB Liquefaction Initiation'!B51)</f>
        <v>1.7936216801192344</v>
      </c>
      <c r="C51" s="35">
        <f>IF('PB Liquefaction Initiation'!C18="","",'PB Liquefaction Initiation'!C18)</f>
        <v>19.527529999999999</v>
      </c>
      <c r="D51" s="10">
        <f>IF('PB Liquefaction Initiation'!D18="","",'PB Liquefaction Initiation'!D18)</f>
        <v>70</v>
      </c>
      <c r="E51" s="35">
        <f>IF('PB Liquefaction Initiation'!E18="","",'PB Liquefaction Initiation'!E18)</f>
        <v>2.4384000000000001</v>
      </c>
      <c r="F51" s="17">
        <f t="shared" si="10"/>
        <v>4.144728715335928</v>
      </c>
      <c r="G51" s="17">
        <f t="shared" si="14"/>
        <v>244.03163690399998</v>
      </c>
      <c r="H51" s="17">
        <f t="shared" si="15"/>
        <v>121.43802890399998</v>
      </c>
      <c r="I51" s="30">
        <f t="shared" si="16"/>
        <v>0.95513990073036703</v>
      </c>
      <c r="J51" s="227">
        <f>IF(Inputs!H21="",1,Inputs!H21)</f>
        <v>1</v>
      </c>
      <c r="K51" s="85" t="e">
        <f>IF(OR(A51&lt;$B$38,A51="",Inputs!J21="No",Method_Cetin=FALSE),NA(),13.79*LN(0.65*$B$37*$B$36*G51/H51*I51)+29.06*LN($B$41)+3.82*LN(H51/101.325)-15.25-4.21*_xlfn.NORM.S.INV(1-Percentile_Liq/100))</f>
        <v>#N/A</v>
      </c>
      <c r="L51" s="19" t="e">
        <f t="shared" si="11"/>
        <v>#N/A</v>
      </c>
      <c r="M51" s="87" t="e">
        <f t="shared" si="12"/>
        <v>#N/A</v>
      </c>
      <c r="N51" s="19" t="e">
        <f>IF(OR(A51&lt;$B$38,A51="",Inputs!J21="No",Method_Cetin=FALSE),NA(),$E$36*0.65*G51/H51*I51)</f>
        <v>#N/A</v>
      </c>
      <c r="O51" s="86">
        <f t="shared" si="13"/>
        <v>8.1166656004397583E-2</v>
      </c>
      <c r="AE51" s="81"/>
      <c r="AF51" s="81"/>
      <c r="AG51" s="81"/>
      <c r="AH51" s="81"/>
      <c r="AI51" s="81"/>
      <c r="AJ51" s="81"/>
      <c r="AK51" s="81"/>
      <c r="AL51" s="81"/>
    </row>
    <row r="52" spans="1:38" x14ac:dyDescent="0.25">
      <c r="A52" s="105">
        <f>IF('PB Liquefaction Initiation'!A19="","",'PB Liquefaction Initiation'!A19)</f>
        <v>13.715999999999999</v>
      </c>
      <c r="B52" s="35">
        <f>IF('PB Liquefaction Initiation'!B52="","",'PB Liquefaction Initiation'!B52)</f>
        <v>1.7286856333565144</v>
      </c>
      <c r="C52" s="35">
        <f>IF('PB Liquefaction Initiation'!C19="","",'PB Liquefaction Initiation'!C19)</f>
        <v>19.527529999999999</v>
      </c>
      <c r="D52" s="10">
        <f>IF('PB Liquefaction Initiation'!D19="","",'PB Liquefaction Initiation'!D19)</f>
        <v>5</v>
      </c>
      <c r="E52" s="35">
        <f>IF('PB Liquefaction Initiation'!E19="","",'PB Liquefaction Initiation'!E19)</f>
        <v>0.91439999999999999</v>
      </c>
      <c r="F52" s="17">
        <f t="shared" si="10"/>
        <v>2.0632593460236448</v>
      </c>
      <c r="G52" s="17">
        <f t="shared" si="14"/>
        <v>267.83960147999994</v>
      </c>
      <c r="H52" s="17">
        <f t="shared" si="15"/>
        <v>133.28564147999995</v>
      </c>
      <c r="I52" s="30">
        <f t="shared" si="16"/>
        <v>0.9476646699447463</v>
      </c>
      <c r="J52" s="227">
        <f>IF(Inputs!H22="",1,Inputs!H22)</f>
        <v>1</v>
      </c>
      <c r="K52" s="85">
        <f>IF(OR(A52&lt;$B$38,A52="",Inputs!J22="No",Method_Cetin=FALSE),NA(),13.79*LN(0.65*$B$37*$B$36*G52/H52*I52)+29.06*LN($B$41)+3.82*LN(H52/101.325)-15.25-4.21*_xlfn.NORM.S.INV(1-Percentile_Liq/100))</f>
        <v>44.292057499753916</v>
      </c>
      <c r="L52" s="19">
        <f t="shared" si="11"/>
        <v>7.5273734828321059E-2</v>
      </c>
      <c r="M52" s="87">
        <f t="shared" si="12"/>
        <v>1</v>
      </c>
      <c r="N52" s="19">
        <f>IF(OR(A52&lt;$B$38,A52="",Inputs!J22="No",Method_Cetin=FALSE),NA(),$E$36*0.65*G52/H52*I52)</f>
        <v>0.90361270859979537</v>
      </c>
      <c r="O52" s="86">
        <f t="shared" si="13"/>
        <v>6.8018303414641948E-2</v>
      </c>
      <c r="AE52" s="81"/>
      <c r="AF52" s="81"/>
      <c r="AG52" s="81"/>
      <c r="AH52" s="81"/>
      <c r="AI52" s="81"/>
      <c r="AJ52" s="81"/>
      <c r="AK52" s="81"/>
      <c r="AL52" s="81"/>
    </row>
    <row r="53" spans="1:38" x14ac:dyDescent="0.25">
      <c r="A53" s="105">
        <f>IF('PB Liquefaction Initiation'!A20="","",'PB Liquefaction Initiation'!A20)</f>
        <v>15.6972</v>
      </c>
      <c r="B53" s="35">
        <f>IF('PB Liquefaction Initiation'!B53="","",'PB Liquefaction Initiation'!B53)</f>
        <v>9.826321161529588</v>
      </c>
      <c r="C53" s="35">
        <f>IF('PB Liquefaction Initiation'!C20="","",'PB Liquefaction Initiation'!C20)</f>
        <v>19.527529999999999</v>
      </c>
      <c r="D53" s="10">
        <f>IF('PB Liquefaction Initiation'!D20="","",'PB Liquefaction Initiation'!D20)</f>
        <v>5</v>
      </c>
      <c r="E53" s="35">
        <f>IF('PB Liquefaction Initiation'!E20="","",'PB Liquefaction Initiation'!E20)</f>
        <v>2.1335999999999999</v>
      </c>
      <c r="F53" s="17">
        <f t="shared" si="10"/>
        <v>10.322847584760181</v>
      </c>
      <c r="G53" s="17">
        <f t="shared" si="14"/>
        <v>306.52754391600001</v>
      </c>
      <c r="H53" s="17">
        <f t="shared" si="15"/>
        <v>152.53801191599999</v>
      </c>
      <c r="I53" s="30">
        <f t="shared" si="16"/>
        <v>0.93396088435895774</v>
      </c>
      <c r="J53" s="227">
        <f>IF(Inputs!H23="",1,Inputs!H23)</f>
        <v>1</v>
      </c>
      <c r="K53" s="85">
        <f>IF(OR(A53&lt;$B$38,A53="",Inputs!J23="No",Method_Cetin=FALSE),NA(),13.79*LN(0.65*$B$37*$B$36*G53/H53*I53)+29.06*LN($B$41)+3.82*LN(H53/101.325)-15.25-4.21*_xlfn.NORM.S.INV(1-Percentile_Liq/100))</f>
        <v>44.606581970585999</v>
      </c>
      <c r="L53" s="19">
        <f t="shared" si="11"/>
        <v>0.13392474304154969</v>
      </c>
      <c r="M53" s="87">
        <f t="shared" si="12"/>
        <v>0.99999999999351175</v>
      </c>
      <c r="N53" s="19">
        <f>IF(OR(A53&lt;$B$38,A53="",Inputs!J23="No",Method_Cetin=FALSE),NA(),$E$36*0.65*G53/H53*I53)</f>
        <v>0.89054594014891797</v>
      </c>
      <c r="O53" s="86">
        <f t="shared" si="13"/>
        <v>0.11926613620113914</v>
      </c>
      <c r="AE53" s="81"/>
      <c r="AF53" s="81"/>
      <c r="AG53" s="81"/>
      <c r="AH53" s="81"/>
      <c r="AI53" s="81"/>
      <c r="AJ53" s="81"/>
      <c r="AK53" s="81"/>
      <c r="AL53" s="81"/>
    </row>
    <row r="54" spans="1:38" x14ac:dyDescent="0.25">
      <c r="A54" s="105">
        <f>IF('PB Liquefaction Initiation'!A21="","",'PB Liquefaction Initiation'!A21)</f>
        <v>17.3736</v>
      </c>
      <c r="B54" s="35">
        <f>IF('PB Liquefaction Initiation'!B54="","",'PB Liquefaction Initiation'!B54)</f>
        <v>2.6196491173635703</v>
      </c>
      <c r="C54" s="35">
        <f>IF('PB Liquefaction Initiation'!C21="","",'PB Liquefaction Initiation'!C21)</f>
        <v>19.527529999999999</v>
      </c>
      <c r="D54" s="10">
        <f>IF('PB Liquefaction Initiation'!D21="","",'PB Liquefaction Initiation'!D21)</f>
        <v>5</v>
      </c>
      <c r="E54" s="35">
        <f>IF('PB Liquefaction Initiation'!E21="","",'PB Liquefaction Initiation'!E21)</f>
        <v>1.2192000000000001</v>
      </c>
      <c r="F54" s="17">
        <f t="shared" si="10"/>
        <v>2.9720420997108414</v>
      </c>
      <c r="G54" s="17">
        <f t="shared" si="14"/>
        <v>339.26349520799999</v>
      </c>
      <c r="H54" s="17">
        <f t="shared" si="15"/>
        <v>168.82847920799998</v>
      </c>
      <c r="I54" s="30">
        <f t="shared" si="16"/>
        <v>0.92077280565726383</v>
      </c>
      <c r="J54" s="227">
        <f>IF(Inputs!H24="",1,Inputs!H24)</f>
        <v>1</v>
      </c>
      <c r="K54" s="85">
        <f>IF(OR(A54&lt;$B$38,A54="",Inputs!J24="No",Method_Cetin=FALSE),NA(),13.79*LN(0.65*$B$37*$B$36*G54/H54*I54)+29.06*LN($B$41)+3.82*LN(H54/101.325)-15.25-4.21*_xlfn.NORM.S.INV(1-Percentile_Liq/100))</f>
        <v>44.798084490646112</v>
      </c>
      <c r="L54" s="19">
        <f t="shared" si="11"/>
        <v>7.7504626482994235E-2</v>
      </c>
      <c r="M54" s="87">
        <f t="shared" si="12"/>
        <v>1</v>
      </c>
      <c r="N54" s="19">
        <f>IF(OR(A54&lt;$B$38,A54="",Inputs!J24="No",Method_Cetin=FALSE),NA(),$E$36*0.65*G54/H54*I54)</f>
        <v>0.87797090607324668</v>
      </c>
      <c r="O54" s="86">
        <f t="shared" si="13"/>
        <v>6.8046807138142998E-2</v>
      </c>
      <c r="AE54" s="81"/>
      <c r="AF54" s="81"/>
      <c r="AG54" s="81"/>
      <c r="AH54" s="81"/>
      <c r="AI54" s="81"/>
      <c r="AJ54" s="81"/>
      <c r="AK54" s="81"/>
      <c r="AL54" s="81"/>
    </row>
    <row r="55" spans="1:38" x14ac:dyDescent="0.25">
      <c r="A55" s="105" t="str">
        <f>IF('PB Liquefaction Initiation'!A22="","",'PB Liquefaction Initiation'!A22)</f>
        <v/>
      </c>
      <c r="B55" s="35" t="str">
        <f>IF('PB Liquefaction Initiation'!B55="","",'PB Liquefaction Initiation'!B55)</f>
        <v/>
      </c>
      <c r="C55" s="35" t="str">
        <f>IF('PB Liquefaction Initiation'!C22="","",'PB Liquefaction Initiation'!C22)</f>
        <v/>
      </c>
      <c r="D55" s="10" t="str">
        <f>IF('PB Liquefaction Initiation'!D22="","",'PB Liquefaction Initiation'!D22)</f>
        <v/>
      </c>
      <c r="E55" s="35" t="str">
        <f>IF('PB Liquefaction Initiation'!E22="","",'PB Liquefaction Initiation'!E22)</f>
        <v/>
      </c>
      <c r="F55" s="17" t="e">
        <f t="shared" si="10"/>
        <v>#N/A</v>
      </c>
      <c r="G55" s="17" t="str">
        <f t="shared" si="14"/>
        <v/>
      </c>
      <c r="H55" s="17" t="str">
        <f t="shared" si="15"/>
        <v/>
      </c>
      <c r="I55" s="30" t="str">
        <f t="shared" si="16"/>
        <v/>
      </c>
      <c r="J55" s="227">
        <f>IF(Inputs!H25="",1,Inputs!H25)</f>
        <v>1</v>
      </c>
      <c r="K55" s="85" t="e">
        <f>IF(OR(A55&lt;$B$38,A55="",Inputs!J25="No",Method_Cetin=FALSE),NA(),13.79*LN(0.65*$B$37*$B$36*G55/H55*I55)+29.06*LN($B$41)+3.82*LN(H55/101.325)-15.25-4.21*_xlfn.NORM.S.INV(1-Percentile_Liq/100))</f>
        <v>#N/A</v>
      </c>
      <c r="L55" s="19" t="e">
        <f t="shared" si="11"/>
        <v>#N/A</v>
      </c>
      <c r="M55" s="87" t="e">
        <f t="shared" si="12"/>
        <v>#N/A</v>
      </c>
      <c r="N55" s="19" t="e">
        <f>IF(OR(A55&lt;$B$38,A55="",Inputs!J25="No",Method_Cetin=FALSE),NA(),$E$36*0.65*G55/H55*I55)</f>
        <v>#N/A</v>
      </c>
      <c r="O55" s="86" t="e">
        <f t="shared" si="13"/>
        <v>#N/A</v>
      </c>
      <c r="AE55" s="81"/>
      <c r="AF55" s="81"/>
      <c r="AG55" s="81"/>
      <c r="AH55" s="81"/>
      <c r="AI55" s="81"/>
      <c r="AJ55" s="81"/>
      <c r="AK55" s="81"/>
      <c r="AL55" s="81"/>
    </row>
    <row r="56" spans="1:38" x14ac:dyDescent="0.25">
      <c r="A56" s="105" t="str">
        <f>IF('PB Liquefaction Initiation'!A23="","",'PB Liquefaction Initiation'!A23)</f>
        <v/>
      </c>
      <c r="B56" s="35" t="str">
        <f>IF('PB Liquefaction Initiation'!B56="","",'PB Liquefaction Initiation'!B56)</f>
        <v/>
      </c>
      <c r="C56" s="35" t="str">
        <f>IF('PB Liquefaction Initiation'!C23="","",'PB Liquefaction Initiation'!C23)</f>
        <v/>
      </c>
      <c r="D56" s="10" t="str">
        <f>IF('PB Liquefaction Initiation'!D23="","",'PB Liquefaction Initiation'!D23)</f>
        <v/>
      </c>
      <c r="E56" s="35" t="str">
        <f>IF('PB Liquefaction Initiation'!E23="","",'PB Liquefaction Initiation'!E23)</f>
        <v/>
      </c>
      <c r="F56" s="17" t="e">
        <f t="shared" si="10"/>
        <v>#N/A</v>
      </c>
      <c r="G56" s="17" t="str">
        <f t="shared" si="14"/>
        <v/>
      </c>
      <c r="H56" s="17" t="str">
        <f t="shared" si="15"/>
        <v/>
      </c>
      <c r="I56" s="30" t="str">
        <f t="shared" si="16"/>
        <v/>
      </c>
      <c r="J56" s="227">
        <f>IF(Inputs!H26="",1,Inputs!H26)</f>
        <v>1</v>
      </c>
      <c r="K56" s="85" t="e">
        <f>IF(OR(A56&lt;$B$38,A56="",Inputs!J26="No",Method_Cetin=FALSE),NA(),13.79*LN(0.65*$B$37*$B$36*G56/H56*I56)+29.06*LN($B$41)+3.82*LN(H56/101.325)-15.25-4.21*_xlfn.NORM.S.INV(1-Percentile_Liq/100))</f>
        <v>#N/A</v>
      </c>
      <c r="L56" s="19" t="e">
        <f t="shared" si="11"/>
        <v>#N/A</v>
      </c>
      <c r="M56" s="87" t="e">
        <f t="shared" si="12"/>
        <v>#N/A</v>
      </c>
      <c r="N56" s="19" t="e">
        <f>IF(OR(A56&lt;$B$38,A56="",Inputs!J26="No",Method_Cetin=FALSE),NA(),$E$36*0.65*G56/H56*I56)</f>
        <v>#N/A</v>
      </c>
      <c r="O56" s="86" t="e">
        <f t="shared" si="13"/>
        <v>#N/A</v>
      </c>
      <c r="AE56" s="81"/>
      <c r="AF56" s="81"/>
      <c r="AG56" s="81"/>
      <c r="AH56" s="81"/>
      <c r="AI56" s="81"/>
      <c r="AJ56" s="81"/>
      <c r="AK56" s="81"/>
      <c r="AL56" s="81"/>
    </row>
    <row r="57" spans="1:38" x14ac:dyDescent="0.25">
      <c r="A57" s="105" t="str">
        <f>IF('PB Liquefaction Initiation'!A24="","",'PB Liquefaction Initiation'!A24)</f>
        <v/>
      </c>
      <c r="B57" s="35" t="str">
        <f>IF('PB Liquefaction Initiation'!B57="","",'PB Liquefaction Initiation'!B57)</f>
        <v/>
      </c>
      <c r="C57" s="35" t="str">
        <f>IF('PB Liquefaction Initiation'!C24="","",'PB Liquefaction Initiation'!C24)</f>
        <v/>
      </c>
      <c r="D57" s="10" t="str">
        <f>IF('PB Liquefaction Initiation'!D24="","",'PB Liquefaction Initiation'!D24)</f>
        <v/>
      </c>
      <c r="E57" s="35" t="str">
        <f>IF('PB Liquefaction Initiation'!E24="","",'PB Liquefaction Initiation'!E24)</f>
        <v/>
      </c>
      <c r="F57" s="17" t="e">
        <f t="shared" si="10"/>
        <v>#N/A</v>
      </c>
      <c r="G57" s="17" t="str">
        <f t="shared" si="14"/>
        <v/>
      </c>
      <c r="H57" s="17" t="str">
        <f t="shared" si="15"/>
        <v/>
      </c>
      <c r="I57" s="30" t="str">
        <f t="shared" si="16"/>
        <v/>
      </c>
      <c r="J57" s="227">
        <f>IF(Inputs!H27="",1,Inputs!H27)</f>
        <v>1</v>
      </c>
      <c r="K57" s="85" t="e">
        <f>IF(OR(A57&lt;$B$38,A57="",Inputs!J27="No",Method_Cetin=FALSE),NA(),13.79*LN(0.65*$B$37*$B$36*G57/H57*I57)+29.06*LN($B$41)+3.82*LN(H57/101.325)-15.25-4.21*_xlfn.NORM.S.INV(1-Percentile_Liq/100))</f>
        <v>#N/A</v>
      </c>
      <c r="L57" s="19" t="e">
        <f t="shared" si="11"/>
        <v>#N/A</v>
      </c>
      <c r="M57" s="87" t="e">
        <f t="shared" si="12"/>
        <v>#N/A</v>
      </c>
      <c r="N57" s="19" t="e">
        <f>IF(OR(A57&lt;$B$38,A57="",Inputs!J27="No",Method_Cetin=FALSE),NA(),$E$36*0.65*G57/H57*I57)</f>
        <v>#N/A</v>
      </c>
      <c r="O57" s="86" t="e">
        <f t="shared" si="13"/>
        <v>#N/A</v>
      </c>
      <c r="AE57" s="81"/>
      <c r="AF57" s="81"/>
      <c r="AG57" s="81"/>
      <c r="AH57" s="81"/>
      <c r="AI57" s="81"/>
      <c r="AJ57" s="81"/>
      <c r="AK57" s="81"/>
      <c r="AL57" s="81"/>
    </row>
    <row r="58" spans="1:38" x14ac:dyDescent="0.25">
      <c r="A58" s="105" t="str">
        <f>IF('PB Liquefaction Initiation'!A25="","",'PB Liquefaction Initiation'!A25)</f>
        <v/>
      </c>
      <c r="B58" s="35" t="str">
        <f>IF('PB Liquefaction Initiation'!B58="","",'PB Liquefaction Initiation'!B58)</f>
        <v/>
      </c>
      <c r="C58" s="35" t="str">
        <f>IF('PB Liquefaction Initiation'!C25="","",'PB Liquefaction Initiation'!C25)</f>
        <v/>
      </c>
      <c r="D58" s="10" t="str">
        <f>IF('PB Liquefaction Initiation'!D25="","",'PB Liquefaction Initiation'!D25)</f>
        <v/>
      </c>
      <c r="E58" s="35" t="str">
        <f>IF('PB Liquefaction Initiation'!E25="","",'PB Liquefaction Initiation'!E25)</f>
        <v/>
      </c>
      <c r="F58" s="17" t="e">
        <f t="shared" si="10"/>
        <v>#N/A</v>
      </c>
      <c r="G58" s="17" t="str">
        <f t="shared" si="14"/>
        <v/>
      </c>
      <c r="H58" s="17" t="str">
        <f t="shared" si="15"/>
        <v/>
      </c>
      <c r="I58" s="30" t="str">
        <f t="shared" si="16"/>
        <v/>
      </c>
      <c r="J58" s="227">
        <f>IF(Inputs!H28="",1,Inputs!H28)</f>
        <v>1</v>
      </c>
      <c r="K58" s="85" t="e">
        <f>IF(OR(A58&lt;$B$38,A58="",Inputs!J28="No",Method_Cetin=FALSE),NA(),13.79*LN(0.65*$B$37*$B$36*G58/H58*I58)+29.06*LN($B$41)+3.82*LN(H58/101.325)-15.25-4.21*_xlfn.NORM.S.INV(1-Percentile_Liq/100))</f>
        <v>#N/A</v>
      </c>
      <c r="L58" s="19" t="e">
        <f t="shared" si="11"/>
        <v>#N/A</v>
      </c>
      <c r="M58" s="87" t="e">
        <f t="shared" si="12"/>
        <v>#N/A</v>
      </c>
      <c r="N58" s="19" t="e">
        <f>IF(OR(A58&lt;$B$38,A58="",Inputs!J28="No",Method_Cetin=FALSE),NA(),$E$36*0.65*G58/H58*I58)</f>
        <v>#N/A</v>
      </c>
      <c r="O58" s="86" t="e">
        <f t="shared" si="13"/>
        <v>#N/A</v>
      </c>
      <c r="AE58" s="81"/>
      <c r="AF58" s="81"/>
      <c r="AG58" s="81"/>
      <c r="AH58" s="81"/>
      <c r="AI58" s="81"/>
      <c r="AJ58" s="81"/>
      <c r="AK58" s="81"/>
      <c r="AL58" s="81"/>
    </row>
    <row r="59" spans="1:38" x14ac:dyDescent="0.25">
      <c r="A59" s="105" t="str">
        <f>IF('PB Liquefaction Initiation'!A26="","",'PB Liquefaction Initiation'!A26)</f>
        <v/>
      </c>
      <c r="B59" s="35" t="str">
        <f>IF('PB Liquefaction Initiation'!B59="","",'PB Liquefaction Initiation'!B59)</f>
        <v/>
      </c>
      <c r="C59" s="35" t="str">
        <f>IF('PB Liquefaction Initiation'!C26="","",'PB Liquefaction Initiation'!C26)</f>
        <v/>
      </c>
      <c r="D59" s="10" t="str">
        <f>IF('PB Liquefaction Initiation'!D26="","",'PB Liquefaction Initiation'!D26)</f>
        <v/>
      </c>
      <c r="E59" s="35" t="str">
        <f>IF('PB Liquefaction Initiation'!E26="","",'PB Liquefaction Initiation'!E26)</f>
        <v/>
      </c>
      <c r="F59" s="17" t="e">
        <f t="shared" si="10"/>
        <v>#N/A</v>
      </c>
      <c r="G59" s="17" t="str">
        <f t="shared" si="14"/>
        <v/>
      </c>
      <c r="H59" s="17" t="str">
        <f t="shared" si="15"/>
        <v/>
      </c>
      <c r="I59" s="30" t="str">
        <f t="shared" si="16"/>
        <v/>
      </c>
      <c r="J59" s="227">
        <f>IF(Inputs!H29="",1,Inputs!H29)</f>
        <v>1</v>
      </c>
      <c r="K59" s="85" t="e">
        <f>IF(OR(A59&lt;$B$38,A59="",Inputs!J29="No",Method_Cetin=FALSE),NA(),13.79*LN(0.65*$B$37*$B$36*G59/H59*I59)+29.06*LN($B$41)+3.82*LN(H59/101.325)-15.25-4.21*_xlfn.NORM.S.INV(1-Percentile_Liq/100))</f>
        <v>#N/A</v>
      </c>
      <c r="L59" s="19" t="e">
        <f t="shared" si="11"/>
        <v>#N/A</v>
      </c>
      <c r="M59" s="87" t="e">
        <f t="shared" si="12"/>
        <v>#N/A</v>
      </c>
      <c r="N59" s="19" t="e">
        <f>IF(OR(A59&lt;$B$38,A59="",Inputs!J29="No",Method_Cetin=FALSE),NA(),$E$36*0.65*G59/H59*I59)</f>
        <v>#N/A</v>
      </c>
      <c r="O59" s="86" t="e">
        <f t="shared" si="13"/>
        <v>#N/A</v>
      </c>
    </row>
    <row r="60" spans="1:38" x14ac:dyDescent="0.25">
      <c r="A60" s="105" t="str">
        <f>IF('PB Liquefaction Initiation'!A27="","",'PB Liquefaction Initiation'!A27)</f>
        <v/>
      </c>
      <c r="B60" s="35" t="str">
        <f>IF('PB Liquefaction Initiation'!B60="","",'PB Liquefaction Initiation'!B60)</f>
        <v/>
      </c>
      <c r="C60" s="35" t="str">
        <f>IF('PB Liquefaction Initiation'!C27="","",'PB Liquefaction Initiation'!C27)</f>
        <v/>
      </c>
      <c r="D60" s="10" t="str">
        <f>IF('PB Liquefaction Initiation'!D27="","",'PB Liquefaction Initiation'!D27)</f>
        <v/>
      </c>
      <c r="E60" s="35" t="str">
        <f>IF('PB Liquefaction Initiation'!E27="","",'PB Liquefaction Initiation'!E27)</f>
        <v/>
      </c>
      <c r="F60" s="17" t="e">
        <f t="shared" si="10"/>
        <v>#N/A</v>
      </c>
      <c r="G60" s="17" t="str">
        <f t="shared" si="14"/>
        <v/>
      </c>
      <c r="H60" s="17" t="str">
        <f t="shared" si="15"/>
        <v/>
      </c>
      <c r="I60" s="30" t="str">
        <f t="shared" si="16"/>
        <v/>
      </c>
      <c r="J60" s="227">
        <f>IF(Inputs!H30="",1,Inputs!H30)</f>
        <v>1</v>
      </c>
      <c r="K60" s="85" t="e">
        <f>IF(OR(A60&lt;$B$38,A60="",Inputs!J30="No",Method_Cetin=FALSE),NA(),13.79*LN(0.65*$B$37*$B$36*G60/H60*I60)+29.06*LN($B$41)+3.82*LN(H60/101.325)-15.25-4.21*_xlfn.NORM.S.INV(1-Percentile_Liq/100))</f>
        <v>#N/A</v>
      </c>
      <c r="L60" s="19" t="e">
        <f t="shared" si="11"/>
        <v>#N/A</v>
      </c>
      <c r="M60" s="87" t="e">
        <f t="shared" si="12"/>
        <v>#N/A</v>
      </c>
      <c r="N60" s="19" t="e">
        <f>IF(OR(A60&lt;$B$38,A60="",Inputs!J30="No",Method_Cetin=FALSE),NA(),$E$36*0.65*G60/H60*I60)</f>
        <v>#N/A</v>
      </c>
      <c r="O60" s="86" t="e">
        <f t="shared" si="13"/>
        <v>#N/A</v>
      </c>
    </row>
    <row r="61" spans="1:38" x14ac:dyDescent="0.25">
      <c r="A61" s="105" t="str">
        <f>IF('PB Liquefaction Initiation'!A28="","",'PB Liquefaction Initiation'!A28)</f>
        <v/>
      </c>
      <c r="B61" s="35" t="str">
        <f>IF('PB Liquefaction Initiation'!B61="","",'PB Liquefaction Initiation'!B61)</f>
        <v/>
      </c>
      <c r="C61" s="35" t="str">
        <f>IF('PB Liquefaction Initiation'!C28="","",'PB Liquefaction Initiation'!C28)</f>
        <v/>
      </c>
      <c r="D61" s="10" t="str">
        <f>IF('PB Liquefaction Initiation'!D28="","",'PB Liquefaction Initiation'!D28)</f>
        <v/>
      </c>
      <c r="E61" s="35" t="str">
        <f>IF('PB Liquefaction Initiation'!E28="","",'PB Liquefaction Initiation'!E28)</f>
        <v/>
      </c>
      <c r="F61" s="17" t="e">
        <f t="shared" si="10"/>
        <v>#N/A</v>
      </c>
      <c r="G61" s="17" t="str">
        <f t="shared" si="14"/>
        <v/>
      </c>
      <c r="H61" s="17" t="str">
        <f t="shared" si="15"/>
        <v/>
      </c>
      <c r="I61" s="30" t="str">
        <f t="shared" si="16"/>
        <v/>
      </c>
      <c r="J61" s="227">
        <f>IF(Inputs!H31="",1,Inputs!H31)</f>
        <v>1</v>
      </c>
      <c r="K61" s="85" t="e">
        <f>IF(OR(A61&lt;$B$38,A61="",Inputs!J31="No",Method_Cetin=FALSE),NA(),13.79*LN(0.65*$B$37*$B$36*G61/H61*I61)+29.06*LN($B$41)+3.82*LN(H61/101.325)-15.25-4.21*_xlfn.NORM.S.INV(1-Percentile_Liq/100))</f>
        <v>#N/A</v>
      </c>
      <c r="L61" s="19" t="e">
        <f t="shared" si="11"/>
        <v>#N/A</v>
      </c>
      <c r="M61" s="87" t="e">
        <f t="shared" si="12"/>
        <v>#N/A</v>
      </c>
      <c r="N61" s="19" t="e">
        <f>IF(OR(A61&lt;$B$38,A61="",Inputs!J31="No",Method_Cetin=FALSE),NA(),$E$36*0.65*G61/H61*I61)</f>
        <v>#N/A</v>
      </c>
      <c r="O61" s="86" t="e">
        <f t="shared" si="13"/>
        <v>#N/A</v>
      </c>
    </row>
    <row r="62" spans="1:38" ht="16.5" thickBot="1" x14ac:dyDescent="0.3">
      <c r="A62" s="106" t="str">
        <f>IF('PB Liquefaction Initiation'!A29="","",'PB Liquefaction Initiation'!A29)</f>
        <v/>
      </c>
      <c r="B62" s="45" t="str">
        <f>IF('PB Liquefaction Initiation'!B62="","",'PB Liquefaction Initiation'!B62)</f>
        <v/>
      </c>
      <c r="C62" s="45" t="str">
        <f>IF('PB Liquefaction Initiation'!C29="","",'PB Liquefaction Initiation'!C29)</f>
        <v/>
      </c>
      <c r="D62" s="11" t="str">
        <f>IF('PB Liquefaction Initiation'!D29="","",'PB Liquefaction Initiation'!D29)</f>
        <v/>
      </c>
      <c r="E62" s="45" t="str">
        <f>IF('PB Liquefaction Initiation'!E29="","",'PB Liquefaction Initiation'!E29)</f>
        <v/>
      </c>
      <c r="F62" s="20" t="e">
        <f t="shared" si="10"/>
        <v>#N/A</v>
      </c>
      <c r="G62" s="20" t="str">
        <f t="shared" si="14"/>
        <v/>
      </c>
      <c r="H62" s="20" t="str">
        <f t="shared" si="15"/>
        <v/>
      </c>
      <c r="I62" s="135" t="str">
        <f t="shared" si="16"/>
        <v/>
      </c>
      <c r="J62" s="228">
        <f>IF(Inputs!H32="",1,Inputs!H32)</f>
        <v>1</v>
      </c>
      <c r="K62" s="120" t="e">
        <f>IF(OR(A62&lt;$B$38,A62="",Inputs!J32="No",Method_Cetin=FALSE),NA(),13.79*LN(0.65*$B$37*$B$36*G62/H62*I62)+29.06*LN($B$41)+3.82*LN(H62/101.325)-15.25-4.21*_xlfn.NORM.S.INV(1-Percentile_Liq/100))</f>
        <v>#N/A</v>
      </c>
      <c r="L62" s="130" t="e">
        <f t="shared" si="11"/>
        <v>#N/A</v>
      </c>
      <c r="M62" s="122" t="e">
        <f t="shared" si="12"/>
        <v>#N/A</v>
      </c>
      <c r="N62" s="130" t="e">
        <f>IF(OR(A62&lt;$B$38,A62="",Inputs!J32="No",Method_Cetin=FALSE),NA(),$E$36*0.65*G62/H62*I62)</f>
        <v>#N/A</v>
      </c>
      <c r="O62" s="123" t="e">
        <f t="shared" si="13"/>
        <v>#N/A</v>
      </c>
    </row>
  </sheetData>
  <sheetProtection password="C5B9" sheet="1" objects="1" scenarios="1"/>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FFCDCD"/>
  </sheetPr>
  <dimension ref="A1:AJ55"/>
  <sheetViews>
    <sheetView showGridLines="0" zoomScaleNormal="100" workbookViewId="0"/>
  </sheetViews>
  <sheetFormatPr defaultColWidth="9" defaultRowHeight="15" x14ac:dyDescent="0.25"/>
  <cols>
    <col min="1" max="1" width="16.625" style="43" customWidth="1"/>
    <col min="2" max="2" width="11.5" style="43" customWidth="1"/>
    <col min="3" max="3" width="16" style="43" customWidth="1"/>
    <col min="4" max="4" width="11.75" style="43" customWidth="1"/>
    <col min="5" max="5" width="10.5" style="43" bestFit="1" customWidth="1"/>
    <col min="6" max="8" width="9" style="43"/>
    <col min="9" max="11" width="10.125" style="42" bestFit="1" customWidth="1"/>
    <col min="12" max="12" width="10.125" style="42" customWidth="1"/>
    <col min="13" max="13" width="9.625" style="42" customWidth="1"/>
    <col min="14" max="16" width="10.125" style="42" bestFit="1" customWidth="1"/>
    <col min="17" max="23" width="9" style="42"/>
    <col min="24" max="24" width="12.125" style="42" bestFit="1" customWidth="1"/>
    <col min="25" max="25" width="12.375" style="42" bestFit="1" customWidth="1"/>
    <col min="26" max="26" width="9" style="42"/>
    <col min="27" max="29" width="9" style="43"/>
    <col min="30" max="30" width="8.875" style="43" customWidth="1"/>
    <col min="31" max="31" width="10.5" style="42" bestFit="1" customWidth="1"/>
    <col min="32" max="32" width="9.5" style="42" bestFit="1" customWidth="1"/>
    <col min="33" max="34" width="10.5" style="42" bestFit="1" customWidth="1"/>
    <col min="35" max="35" width="9" style="43"/>
    <col min="36" max="36" width="10.125" style="43" bestFit="1" customWidth="1"/>
    <col min="37" max="16384" width="9" style="43"/>
  </cols>
  <sheetData>
    <row r="1" spans="1:36" ht="15.75" x14ac:dyDescent="0.25">
      <c r="A1" s="2" t="s">
        <v>249</v>
      </c>
      <c r="B1" s="2"/>
      <c r="C1" s="2"/>
    </row>
    <row r="3" spans="1:36" x14ac:dyDescent="0.25">
      <c r="A3" s="305" t="s">
        <v>38</v>
      </c>
      <c r="B3" s="405">
        <f>IF(design_gw="",NA(),IF(units=2,CONVERT(design_gw,"ft","m"),design_gw))</f>
        <v>0</v>
      </c>
      <c r="C3" s="43" t="s">
        <v>23</v>
      </c>
    </row>
    <row r="4" spans="1:36" ht="18" x14ac:dyDescent="0.25">
      <c r="A4" s="305" t="s">
        <v>431</v>
      </c>
      <c r="B4" s="406">
        <f>IF(Inputs!C53="",NA(),Inputs!C53)</f>
        <v>2.2999999999999998</v>
      </c>
      <c r="C4" s="378"/>
    </row>
    <row r="5" spans="1:36" ht="18.75" thickBot="1" x14ac:dyDescent="0.3">
      <c r="A5" s="306" t="s">
        <v>257</v>
      </c>
      <c r="B5" s="406">
        <f>IF(CSR_ref_BI="",NA(),CSR_ref_BI)</f>
        <v>35.14</v>
      </c>
      <c r="C5" s="378"/>
      <c r="H5"/>
      <c r="I5"/>
      <c r="J5"/>
      <c r="K5"/>
      <c r="L5"/>
      <c r="M5"/>
      <c r="N5"/>
      <c r="O5"/>
      <c r="Z5" s="383"/>
      <c r="AA5" s="80"/>
      <c r="AB5" s="80"/>
      <c r="AC5" s="80"/>
      <c r="AD5" s="80"/>
      <c r="AE5" s="383"/>
    </row>
    <row r="6" spans="1:36" ht="30.75" customHeight="1" thickBot="1" x14ac:dyDescent="0.3">
      <c r="D6" s="627" t="s">
        <v>270</v>
      </c>
      <c r="E6" s="628"/>
      <c r="F6" s="628"/>
      <c r="G6" s="628"/>
      <c r="H6" s="628"/>
      <c r="I6" s="628"/>
      <c r="J6" s="628"/>
      <c r="K6" s="628"/>
      <c r="L6" s="629"/>
      <c r="M6" s="630" t="s">
        <v>271</v>
      </c>
      <c r="N6" s="631"/>
      <c r="O6" s="631"/>
      <c r="P6" s="631"/>
      <c r="Q6" s="631"/>
      <c r="R6" s="631"/>
      <c r="S6" s="631"/>
      <c r="T6" s="631"/>
      <c r="U6" s="632"/>
      <c r="V6" s="633" t="s">
        <v>274</v>
      </c>
      <c r="W6" s="634"/>
      <c r="X6" s="635" t="s">
        <v>284</v>
      </c>
      <c r="Y6" s="636"/>
      <c r="Z6" s="627" t="s">
        <v>290</v>
      </c>
      <c r="AA6" s="628"/>
      <c r="AB6" s="628"/>
      <c r="AC6" s="628"/>
      <c r="AD6" s="628"/>
      <c r="AE6" s="638" t="s">
        <v>297</v>
      </c>
      <c r="AF6" s="639"/>
      <c r="AG6" s="639"/>
      <c r="AH6" s="639"/>
      <c r="AI6" s="640"/>
    </row>
    <row r="7" spans="1:36" s="296" customFormat="1" ht="21" customHeight="1" x14ac:dyDescent="0.25">
      <c r="A7" s="361" t="s">
        <v>250</v>
      </c>
      <c r="B7" s="362" t="s">
        <v>12</v>
      </c>
      <c r="C7" s="380" t="s">
        <v>234</v>
      </c>
      <c r="D7" s="353" t="s">
        <v>260</v>
      </c>
      <c r="E7" s="293" t="s">
        <v>251</v>
      </c>
      <c r="F7" s="293" t="s">
        <v>252</v>
      </c>
      <c r="G7" s="293" t="s">
        <v>281</v>
      </c>
      <c r="H7" s="293" t="s">
        <v>262</v>
      </c>
      <c r="I7" s="293" t="s">
        <v>265</v>
      </c>
      <c r="J7" s="293" t="s">
        <v>266</v>
      </c>
      <c r="K7" s="293" t="s">
        <v>255</v>
      </c>
      <c r="L7" s="311" t="s">
        <v>272</v>
      </c>
      <c r="M7" s="310" t="s">
        <v>261</v>
      </c>
      <c r="N7" s="307" t="s">
        <v>256</v>
      </c>
      <c r="O7" s="307" t="s">
        <v>258</v>
      </c>
      <c r="P7" s="307" t="s">
        <v>259</v>
      </c>
      <c r="Q7" s="294" t="s">
        <v>314</v>
      </c>
      <c r="R7" s="294" t="s">
        <v>263</v>
      </c>
      <c r="S7" s="294" t="s">
        <v>264</v>
      </c>
      <c r="T7" s="294" t="s">
        <v>267</v>
      </c>
      <c r="U7" s="311" t="s">
        <v>273</v>
      </c>
      <c r="V7" s="310" t="s">
        <v>253</v>
      </c>
      <c r="W7" s="311" t="s">
        <v>254</v>
      </c>
      <c r="X7" s="310" t="s">
        <v>283</v>
      </c>
      <c r="Y7" s="294" t="s">
        <v>282</v>
      </c>
      <c r="Z7" s="327" t="s">
        <v>285</v>
      </c>
      <c r="AA7" s="307" t="s">
        <v>286</v>
      </c>
      <c r="AB7" s="307" t="s">
        <v>287</v>
      </c>
      <c r="AC7" s="294" t="s">
        <v>288</v>
      </c>
      <c r="AD7" s="307" t="s">
        <v>292</v>
      </c>
      <c r="AE7" s="327" t="s">
        <v>295</v>
      </c>
      <c r="AF7" s="307" t="s">
        <v>293</v>
      </c>
      <c r="AG7" s="307" t="s">
        <v>294</v>
      </c>
      <c r="AH7" s="307" t="s">
        <v>296</v>
      </c>
      <c r="AI7" s="328" t="s">
        <v>291</v>
      </c>
    </row>
    <row r="8" spans="1:36" x14ac:dyDescent="0.25">
      <c r="A8" s="407">
        <f>IF(Inputs!B13="","",IF(units=2,CONVERT(Inputs!B13,"ft","m"),Inputs!B13))</f>
        <v>0.4572</v>
      </c>
      <c r="B8" s="408">
        <f>IF(Inputs!G13="","",IF(units=2,CONVERT(Inputs!G13,"ft","m"),Inputs!G13))</f>
        <v>0.91439999999999999</v>
      </c>
      <c r="C8" s="409" t="str">
        <f>IF(A8="","",IF(OR(A8&lt;$B$3,Inputs!J13="No"),"Not_susc.","Susceptible"))</f>
        <v>Susceptible</v>
      </c>
      <c r="D8" s="354">
        <f ca="1">IF(OR(A8="",Method_BI=FALSE),NA(),'PB Liquefaction Initiation'!F10)</f>
        <v>33.874185446686866</v>
      </c>
      <c r="E8" s="295">
        <f ca="1">IF(OR(A8="",Method_BI=FALSE),NA(),'PB Liquefaction Initiation'!Q10)</f>
        <v>1.010930585237902</v>
      </c>
      <c r="F8" s="355">
        <f ca="1">IF('PB Liquefaction Initiation'!P10="",NA(),'PB Liquefaction Initiation'!P10)</f>
        <v>0.22311236023806372</v>
      </c>
      <c r="G8" s="295">
        <f ca="1">E8/F8</f>
        <v>4.531038012233954</v>
      </c>
      <c r="H8" s="295">
        <f ca="1">0.032+(0.69*SQRT(D8))-(0.13*D8)</f>
        <v>-0.3557382711294359</v>
      </c>
      <c r="I8" s="295">
        <f ca="1">MAX(0,1.859*(1.1-SQRT(D8/46))^3)</f>
        <v>2.6302652334095056E-2</v>
      </c>
      <c r="J8" s="295">
        <f ca="1">IF(G8&lt;H8,I8,IF(G8&lt;2,MIN(I8,0.035*(2-G8)*((1-H8)/(G8-H8))),0))</f>
        <v>0</v>
      </c>
      <c r="K8" s="295">
        <f ca="1">MAX(0,1.5*EXP(-0.369*SQRT(D8))*MIN(0.08,J8))*L8</f>
        <v>0</v>
      </c>
      <c r="L8" s="356">
        <f ca="1">_xlfn.NORM.S.DIST(LN(G8^-3.61),TRUE)</f>
        <v>2.4550815476353654E-8</v>
      </c>
      <c r="M8" s="346">
        <f>IF(A8="",NA(),18)</f>
        <v>18</v>
      </c>
      <c r="N8" s="309">
        <f t="shared" ref="N8:N27" si="0">IF(A8="",NA(),$B$5/100)</f>
        <v>0.35139999999999999</v>
      </c>
      <c r="O8" s="309">
        <f>EXP((M8/14.1)+((M8/126)^2)-((M8/23.6)^3)+((M8/25.4)^4)-2.67)</f>
        <v>0.20919631756361817</v>
      </c>
      <c r="P8" s="309">
        <f>O8/N8</f>
        <v>0.59532247456920373</v>
      </c>
      <c r="Q8" s="347">
        <f>IF(A8="",NA(),0.6194)</f>
        <v>0.61939999999999995</v>
      </c>
      <c r="R8" s="309">
        <f>MAX(0,1.859*(1.1-SQRT(M8/46))^3)</f>
        <v>0.19854972970494197</v>
      </c>
      <c r="S8" s="309">
        <f>IF(P8&lt;Q8,R8,IF(P8&lt;2,MIN(R8,0.035*(2-P8)*((1-Q8)/(P8-Q8))),0))</f>
        <v>0.19854972970494197</v>
      </c>
      <c r="T8" s="309">
        <f>MAX(0,1.5*EXP(-0.369*SQRT(M8))*MIN(0.08,S8))*U8</f>
        <v>2.4310291649609277E-2</v>
      </c>
      <c r="U8" s="348">
        <f>_xlfn.NORM.S.DIST(LN(P8^-3.61),TRUE)</f>
        <v>0.96941978730039002</v>
      </c>
      <c r="V8" s="312">
        <f ca="1">LN(K8+0.01)/LN(T8+0.01)</f>
        <v>1.3655833220798441</v>
      </c>
      <c r="W8" s="344">
        <f t="shared" ref="W8:W27" ca="1" si="1">MAX(0,EXP(V8*LN($B$4/100+0.01))-0.01)</f>
        <v>0</v>
      </c>
      <c r="X8" s="319">
        <f t="shared" ref="X8:X27" ca="1" si="2">(142.92*(W8^3))+(16.3285*(W8^2))+(0.6802*W8)</f>
        <v>0</v>
      </c>
      <c r="Y8" s="325">
        <f ca="1">X8*100</f>
        <v>0</v>
      </c>
      <c r="Z8" s="333">
        <f>IF(A8="",NA(),MAX(0,1-(A8/18)))</f>
        <v>0.97460000000000002</v>
      </c>
      <c r="AA8" s="334">
        <f ca="1">X8*B8*Z8</f>
        <v>0</v>
      </c>
      <c r="AB8" s="335">
        <f>IF(OR(A8="",C8="Not_susc."),NA(),B8*Z8)</f>
        <v>0.89117424000000001</v>
      </c>
      <c r="AC8" s="334">
        <f ca="1">SUMIFS(AA8:AA27,C8:C27,"=Susceptible",A8:A27,"&lt;18")/SUMIFS(AB8:AB27,C8:C27,"=Susceptible",A8:A27,"&lt;18")</f>
        <v>3.2067190645915802E-2</v>
      </c>
      <c r="AD8" s="387">
        <f ca="1">0.9*AC8*SUMIFS(B8:B27,C8:C27,"=Susceptible",A8:A27,"&lt;18")</f>
        <v>0.41344357168541834</v>
      </c>
      <c r="AE8" s="317">
        <f ca="1">X8*Z8*SUMIFS($B$8:$B$27,$C$8:$C$27,"=Susceptible",$A$8:$A$27,"&lt;18")</f>
        <v>0</v>
      </c>
      <c r="AF8" s="385">
        <f>SUMIF(C8:C27,"=Susceptible",AB8:$AB$27)</f>
        <v>7.3681945600000001</v>
      </c>
      <c r="AG8" s="329">
        <f ca="1">AE8/$AF$8</f>
        <v>0</v>
      </c>
      <c r="AH8" s="385">
        <f ca="1">0.9*AG8*B8*100</f>
        <v>0</v>
      </c>
      <c r="AI8" s="389">
        <f ca="1">SUMIF(C8:C27,"=Susceptible",(AH8:AH27))</f>
        <v>41.344357168541833</v>
      </c>
      <c r="AJ8" s="384"/>
    </row>
    <row r="9" spans="1:36" x14ac:dyDescent="0.25">
      <c r="A9" s="410">
        <f>IF(Inputs!B14="","",IF(units=2,CONVERT(Inputs!B14,"ft","m"),Inputs!B14))</f>
        <v>1.6763999999999999</v>
      </c>
      <c r="B9" s="411">
        <f>IF(Inputs!G14="","",IF(units=2,CONVERT(Inputs!G14,"ft","m"),Inputs!G14))</f>
        <v>1.524</v>
      </c>
      <c r="C9" s="409" t="str">
        <f>IF(A9="","",IF(OR(A9&lt;$B$3,Inputs!J14="No"),"Not_susc.","Susceptible"))</f>
        <v>Susceptible</v>
      </c>
      <c r="D9" s="354">
        <f ca="1">IF(OR(A9="",Method_BI=FALSE),NA(),'PB Liquefaction Initiation'!F11)</f>
        <v>11.900438780020192</v>
      </c>
      <c r="E9" s="295">
        <f ca="1">IF(OR(A9="",Method_BI=FALSE),NA(),'PB Liquefaction Initiation'!Q11)</f>
        <v>0.15000143450236353</v>
      </c>
      <c r="F9" s="355">
        <f ca="1">IF('PB Liquefaction Initiation'!P11="",NA(),'PB Liquefaction Initiation'!P11)</f>
        <v>0.40952183783721907</v>
      </c>
      <c r="G9" s="295">
        <f t="shared" ref="G9:G27" ca="1" si="3">E9/F9</f>
        <v>0.36628433612858424</v>
      </c>
      <c r="H9" s="295">
        <f t="shared" ref="H9:H27" ca="1" si="4">0.032+(0.69*SQRT(D9))-(0.13*D9)</f>
        <v>0.86523682767480725</v>
      </c>
      <c r="I9" s="295">
        <f t="shared" ref="I9:I27" ca="1" si="5">MAX(0,1.859*(1.1-SQRT(D9/46))^3)</f>
        <v>0.38446402727397266</v>
      </c>
      <c r="J9" s="295">
        <f t="shared" ref="J9:J27" ca="1" si="6">IF(G9&lt;H9,I9,IF(G9&lt;2,MIN(I9,0.035*(2-G9)*((1-H9)/(G9-H9))),0))</f>
        <v>0.38446402727397266</v>
      </c>
      <c r="K9" s="295">
        <f t="shared" ref="K9:K27" ca="1" si="7">MAX(0,1.5*EXP(-0.369*SQRT(D9))*MIN(0.08,J9))*L9</f>
        <v>3.359602882958794E-2</v>
      </c>
      <c r="L9" s="356">
        <f t="shared" ref="L9:L27" ca="1" si="8">_xlfn.NORM.S.DIST(LN(G9^-3.61),TRUE)</f>
        <v>0.9998559027570767</v>
      </c>
      <c r="M9" s="346">
        <f t="shared" ref="M9:M27" si="9">IF(A9="",NA(),18)</f>
        <v>18</v>
      </c>
      <c r="N9" s="309">
        <f t="shared" si="0"/>
        <v>0.35139999999999999</v>
      </c>
      <c r="O9" s="309">
        <f t="shared" ref="O9:O27" si="10">EXP((M9/14.1)+((M9/126)^2)-((M9/23.6)^3)+((M9/25.4)^4)-2.67)</f>
        <v>0.20919631756361817</v>
      </c>
      <c r="P9" s="309">
        <f t="shared" ref="P9:P27" si="11">O9/N9</f>
        <v>0.59532247456920373</v>
      </c>
      <c r="Q9" s="347">
        <f t="shared" ref="Q9:Q27" si="12">IF(A9="",NA(),0.6194)</f>
        <v>0.61939999999999995</v>
      </c>
      <c r="R9" s="309">
        <f t="shared" ref="R9:R27" si="13">MAX(0,1.859*(1.1-SQRT(M9/46))^3)</f>
        <v>0.19854972970494197</v>
      </c>
      <c r="S9" s="309">
        <f t="shared" ref="S9:S27" si="14">IF(P9&lt;Q9,R9,IF(P9&lt;2,MIN(R9,0.035*(2-P9)*((1-Q9)/(P9-Q9))),0))</f>
        <v>0.19854972970494197</v>
      </c>
      <c r="T9" s="309">
        <f t="shared" ref="T9:T27" si="15">MAX(0,1.5*EXP(-0.369*SQRT(M9))*MIN(0.08,S9))*U9</f>
        <v>2.4310291649609277E-2</v>
      </c>
      <c r="U9" s="348">
        <f t="shared" ref="U9:U27" si="16">_xlfn.NORM.S.DIST(LN(P9^-3.61),TRUE)</f>
        <v>0.96941978730039002</v>
      </c>
      <c r="V9" s="312">
        <f t="shared" ref="V9:V27" ca="1" si="17">LN(K9+0.01)/LN(T9+0.01)</f>
        <v>0.92897428984396224</v>
      </c>
      <c r="W9" s="344">
        <f t="shared" ca="1" si="1"/>
        <v>3.204724441512128E-2</v>
      </c>
      <c r="X9" s="319">
        <f t="shared" ca="1" si="2"/>
        <v>4.3272303515712679E-2</v>
      </c>
      <c r="Y9" s="325">
        <f t="shared" ref="Y9:Y27" ca="1" si="18">X9*100</f>
        <v>4.3272303515712682</v>
      </c>
      <c r="Z9" s="333">
        <f t="shared" ref="Z9:Z27" si="19">IF(A9="",NA(),MAX(0,1-(A9/18)))</f>
        <v>0.90686666666666671</v>
      </c>
      <c r="AA9" s="334">
        <f ca="1">X9*B9*Z9</f>
        <v>5.9805127503982737E-2</v>
      </c>
      <c r="AB9" s="335">
        <f t="shared" ref="AB9:AB27" si="20">IF(OR(A9="",C9="Not_susc."),NA(),B9*Z9)</f>
        <v>1.3820648</v>
      </c>
      <c r="AC9" s="336"/>
      <c r="AD9" s="336"/>
      <c r="AE9" s="317">
        <f t="shared" ref="AE9:AE27" ca="1" si="21">X9*Z9*SUMIFS($B$8:$B$27,$C$8:$C$27,"=Susceptible",$A$8:$A$27,"&lt;18")</f>
        <v>0.56216819853743794</v>
      </c>
      <c r="AF9" s="329"/>
      <c r="AG9" s="329">
        <f t="shared" ref="AG9:AG27" ca="1" si="22">AE9/$AF$8</f>
        <v>7.6296600742507797E-2</v>
      </c>
      <c r="AH9" s="385">
        <f t="shared" ref="AH9:AH27" ca="1" si="23">0.9*AG9*B9*100</f>
        <v>10.464841757842368</v>
      </c>
      <c r="AI9" s="330">
        <f ca="1">IF(OR(C9="",C9="Not_susc."),AI10,AI10+AH9)</f>
        <v>41.344357168541833</v>
      </c>
    </row>
    <row r="10" spans="1:36" x14ac:dyDescent="0.25">
      <c r="A10" s="410">
        <f>IF(Inputs!B15="","",IF(units=2,CONVERT(Inputs!B15,"ft","m"),Inputs!B15))</f>
        <v>3.2004000000000001</v>
      </c>
      <c r="B10" s="411">
        <f>IF(Inputs!G15="","",IF(units=2,CONVERT(Inputs!G15,"ft","m"),Inputs!G15))</f>
        <v>1.524</v>
      </c>
      <c r="C10" s="409" t="str">
        <f>IF(A10="","",IF(OR(A10&lt;$B$3,Inputs!J15="No"),"Not_susc.","Susceptible"))</f>
        <v>Susceptible</v>
      </c>
      <c r="D10" s="354">
        <f ca="1">IF(OR(A10="",Method_BI=FALSE),NA(),'PB Liquefaction Initiation'!F12)</f>
        <v>13.693403668256009</v>
      </c>
      <c r="E10" s="295">
        <f ca="1">IF(OR(A10="",Method_BI=FALSE),NA(),'PB Liquefaction Initiation'!Q12)</f>
        <v>0.165646826340756</v>
      </c>
      <c r="F10" s="355">
        <f ca="1">IF('PB Liquefaction Initiation'!P12="",NA(),'PB Liquefaction Initiation'!P12)</f>
        <v>0.4161886272075469</v>
      </c>
      <c r="G10" s="295">
        <f t="shared" ca="1" si="3"/>
        <v>0.39800901685415463</v>
      </c>
      <c r="H10" s="295">
        <f t="shared" ca="1" si="4"/>
        <v>0.80517487246986019</v>
      </c>
      <c r="I10" s="295">
        <f t="shared" ca="1" si="5"/>
        <v>0.31676842571943614</v>
      </c>
      <c r="J10" s="295">
        <f t="shared" ca="1" si="6"/>
        <v>0.31676842571943614</v>
      </c>
      <c r="K10" s="295">
        <f t="shared" ca="1" si="7"/>
        <v>3.0617787878679272E-2</v>
      </c>
      <c r="L10" s="356">
        <f t="shared" ca="1" si="8"/>
        <v>0.99955921059563024</v>
      </c>
      <c r="M10" s="346">
        <f t="shared" si="9"/>
        <v>18</v>
      </c>
      <c r="N10" s="309">
        <f t="shared" si="0"/>
        <v>0.35139999999999999</v>
      </c>
      <c r="O10" s="309">
        <f t="shared" si="10"/>
        <v>0.20919631756361817</v>
      </c>
      <c r="P10" s="309">
        <f t="shared" si="11"/>
        <v>0.59532247456920373</v>
      </c>
      <c r="Q10" s="347">
        <f t="shared" si="12"/>
        <v>0.61939999999999995</v>
      </c>
      <c r="R10" s="309">
        <f t="shared" si="13"/>
        <v>0.19854972970494197</v>
      </c>
      <c r="S10" s="309">
        <f t="shared" si="14"/>
        <v>0.19854972970494197</v>
      </c>
      <c r="T10" s="309">
        <f t="shared" si="15"/>
        <v>2.4310291649609277E-2</v>
      </c>
      <c r="U10" s="348">
        <f t="shared" si="16"/>
        <v>0.96941978730039002</v>
      </c>
      <c r="V10" s="312">
        <f t="shared" ca="1" si="17"/>
        <v>0.94995693088512922</v>
      </c>
      <c r="W10" s="344">
        <f t="shared" ca="1" si="1"/>
        <v>2.9142814454827491E-2</v>
      </c>
      <c r="X10" s="319">
        <f t="shared" ca="1" si="2"/>
        <v>3.72282237448976E-2</v>
      </c>
      <c r="Y10" s="325">
        <f t="shared" ca="1" si="18"/>
        <v>3.7228223744897599</v>
      </c>
      <c r="Z10" s="333">
        <f t="shared" si="19"/>
        <v>0.82220000000000004</v>
      </c>
      <c r="AA10" s="334">
        <f t="shared" ref="AA10:AA27" ca="1" si="24">X10*B10*Z10</f>
        <v>4.6648185438095527E-2</v>
      </c>
      <c r="AB10" s="335">
        <f t="shared" si="20"/>
        <v>1.2530328000000002</v>
      </c>
      <c r="AC10" s="336"/>
      <c r="AD10" s="336"/>
      <c r="AE10" s="317">
        <f t="shared" ca="1" si="21"/>
        <v>0.438492943118098</v>
      </c>
      <c r="AF10" s="329"/>
      <c r="AG10" s="329">
        <f t="shared" ca="1" si="22"/>
        <v>5.9511585850156756E-2</v>
      </c>
      <c r="AH10" s="385">
        <f t="shared" ca="1" si="23"/>
        <v>8.162609115207502</v>
      </c>
      <c r="AI10" s="330">
        <f t="shared" ref="AI10:AI25" ca="1" si="25">IF(OR(C10="",C10="Not_susc."),AI11,AI11+AH10)</f>
        <v>30.879515410699462</v>
      </c>
    </row>
    <row r="11" spans="1:36" x14ac:dyDescent="0.25">
      <c r="A11" s="410">
        <f>IF(Inputs!B16="","",IF(units=2,CONVERT(Inputs!B16,"ft","m"),Inputs!B16))</f>
        <v>4.5720000000000001</v>
      </c>
      <c r="B11" s="411">
        <f>IF(Inputs!G16="","",IF(units=2,CONVERT(Inputs!G16,"ft","m"),Inputs!G16))</f>
        <v>1.2192000000000001</v>
      </c>
      <c r="C11" s="409" t="str">
        <f>IF(A11="","",IF(OR(A11&lt;$B$3,Inputs!J16="No"),"Not_susc.","Susceptible"))</f>
        <v>Not_susc.</v>
      </c>
      <c r="D11" s="354">
        <f ca="1">IF(OR(A11="",Method_BI=FALSE),NA(),'PB Liquefaction Initiation'!F13)</f>
        <v>7.5891695726420965</v>
      </c>
      <c r="E11" s="295">
        <f ca="1">IF(OR(A11="",Method_BI=FALSE),NA(),'PB Liquefaction Initiation'!Q13)</f>
        <v>0.11608672878067261</v>
      </c>
      <c r="F11" s="355" t="e">
        <f ca="1">IF('PB Liquefaction Initiation'!P13="",NA(),'PB Liquefaction Initiation'!P13)</f>
        <v>#N/A</v>
      </c>
      <c r="G11" s="295" t="e">
        <f t="shared" ca="1" si="3"/>
        <v>#N/A</v>
      </c>
      <c r="H11" s="295">
        <f t="shared" ca="1" si="4"/>
        <v>0.9462508300558643</v>
      </c>
      <c r="I11" s="295">
        <f t="shared" ca="1" si="5"/>
        <v>0.62089819936744439</v>
      </c>
      <c r="J11" s="295" t="e">
        <f t="shared" ca="1" si="6"/>
        <v>#N/A</v>
      </c>
      <c r="K11" s="295" t="e">
        <f t="shared" ca="1" si="7"/>
        <v>#N/A</v>
      </c>
      <c r="L11" s="356" t="e">
        <f t="shared" ca="1" si="8"/>
        <v>#N/A</v>
      </c>
      <c r="M11" s="346">
        <f t="shared" si="9"/>
        <v>18</v>
      </c>
      <c r="N11" s="309">
        <f t="shared" si="0"/>
        <v>0.35139999999999999</v>
      </c>
      <c r="O11" s="309">
        <f t="shared" si="10"/>
        <v>0.20919631756361817</v>
      </c>
      <c r="P11" s="309">
        <f t="shared" si="11"/>
        <v>0.59532247456920373</v>
      </c>
      <c r="Q11" s="347">
        <f t="shared" si="12"/>
        <v>0.61939999999999995</v>
      </c>
      <c r="R11" s="309">
        <f t="shared" si="13"/>
        <v>0.19854972970494197</v>
      </c>
      <c r="S11" s="309">
        <f t="shared" si="14"/>
        <v>0.19854972970494197</v>
      </c>
      <c r="T11" s="309">
        <f t="shared" si="15"/>
        <v>2.4310291649609277E-2</v>
      </c>
      <c r="U11" s="348">
        <f t="shared" si="16"/>
        <v>0.96941978730039002</v>
      </c>
      <c r="V11" s="312" t="e">
        <f t="shared" ca="1" si="17"/>
        <v>#N/A</v>
      </c>
      <c r="W11" s="344" t="e">
        <f t="shared" ca="1" si="1"/>
        <v>#N/A</v>
      </c>
      <c r="X11" s="319" t="e">
        <f t="shared" ca="1" si="2"/>
        <v>#N/A</v>
      </c>
      <c r="Y11" s="325" t="e">
        <f t="shared" ca="1" si="18"/>
        <v>#N/A</v>
      </c>
      <c r="Z11" s="333">
        <f t="shared" si="19"/>
        <v>0.746</v>
      </c>
      <c r="AA11" s="334" t="e">
        <f t="shared" ca="1" si="24"/>
        <v>#N/A</v>
      </c>
      <c r="AB11" s="335" t="e">
        <f t="shared" si="20"/>
        <v>#N/A</v>
      </c>
      <c r="AC11" s="381"/>
      <c r="AD11" s="336"/>
      <c r="AE11" s="317" t="e">
        <f t="shared" ca="1" si="21"/>
        <v>#N/A</v>
      </c>
      <c r="AF11" s="329"/>
      <c r="AG11" s="329" t="e">
        <f t="shared" ca="1" si="22"/>
        <v>#N/A</v>
      </c>
      <c r="AH11" s="385" t="e">
        <f t="shared" ca="1" si="23"/>
        <v>#N/A</v>
      </c>
      <c r="AI11" s="330">
        <f t="shared" ca="1" si="25"/>
        <v>22.71690629549196</v>
      </c>
    </row>
    <row r="12" spans="1:36" x14ac:dyDescent="0.25">
      <c r="A12" s="410">
        <f>IF(Inputs!B17="","",IF(units=2,CONVERT(Inputs!B17,"ft","m"),Inputs!B17))</f>
        <v>6.2484000000000002</v>
      </c>
      <c r="B12" s="411">
        <f>IF(Inputs!G17="","",IF(units=2,CONVERT(Inputs!G17,"ft","m"),Inputs!G17))</f>
        <v>2.1335999999999999</v>
      </c>
      <c r="C12" s="409" t="str">
        <f>IF(A12="","",IF(OR(A12&lt;$B$3,Inputs!J17="No"),"Not_susc.","Susceptible"))</f>
        <v>Susceptible</v>
      </c>
      <c r="D12" s="354">
        <f ca="1">IF(OR(A12="",Method_BI=FALSE),NA(),'PB Liquefaction Initiation'!F14)</f>
        <v>21.708473911296679</v>
      </c>
      <c r="E12" s="295">
        <f ca="1">IF(OR(A12="",Method_BI=FALSE),NA(),'PB Liquefaction Initiation'!Q14)</f>
        <v>0.26042037964772907</v>
      </c>
      <c r="F12" s="355">
        <f ca="1">IF('PB Liquefaction Initiation'!P14="",NA(),'PB Liquefaction Initiation'!P14)</f>
        <v>0.38666916463062412</v>
      </c>
      <c r="G12" s="295">
        <f t="shared" ca="1" si="3"/>
        <v>0.67349663088987843</v>
      </c>
      <c r="H12" s="295">
        <f t="shared" ca="1" si="4"/>
        <v>0.4247707730060597</v>
      </c>
      <c r="I12" s="295">
        <f t="shared" ca="1" si="5"/>
        <v>0.13098886049804351</v>
      </c>
      <c r="J12" s="295">
        <f t="shared" ca="1" si="6"/>
        <v>0.1073733265767137</v>
      </c>
      <c r="K12" s="295">
        <f t="shared" ca="1" si="7"/>
        <v>1.9852400705456984E-2</v>
      </c>
      <c r="L12" s="356">
        <f t="shared" ca="1" si="8"/>
        <v>0.92320038903243351</v>
      </c>
      <c r="M12" s="346">
        <f t="shared" si="9"/>
        <v>18</v>
      </c>
      <c r="N12" s="309">
        <f t="shared" si="0"/>
        <v>0.35139999999999999</v>
      </c>
      <c r="O12" s="309">
        <f t="shared" si="10"/>
        <v>0.20919631756361817</v>
      </c>
      <c r="P12" s="309">
        <f t="shared" si="11"/>
        <v>0.59532247456920373</v>
      </c>
      <c r="Q12" s="347">
        <f t="shared" si="12"/>
        <v>0.61939999999999995</v>
      </c>
      <c r="R12" s="309">
        <f t="shared" si="13"/>
        <v>0.19854972970494197</v>
      </c>
      <c r="S12" s="309">
        <f t="shared" si="14"/>
        <v>0.19854972970494197</v>
      </c>
      <c r="T12" s="309">
        <f t="shared" si="15"/>
        <v>2.4310291649609277E-2</v>
      </c>
      <c r="U12" s="348">
        <f t="shared" si="16"/>
        <v>0.96941978730039002</v>
      </c>
      <c r="V12" s="312">
        <f t="shared" ca="1" si="17"/>
        <v>1.0412714424956726</v>
      </c>
      <c r="W12" s="344">
        <f t="shared" ca="1" si="1"/>
        <v>1.8666249279287318E-2</v>
      </c>
      <c r="X12" s="319">
        <f t="shared" ca="1" si="2"/>
        <v>1.9315635106280735E-2</v>
      </c>
      <c r="Y12" s="325">
        <f t="shared" ca="1" si="18"/>
        <v>1.9315635106280735</v>
      </c>
      <c r="Z12" s="333">
        <f t="shared" si="19"/>
        <v>0.65286666666666671</v>
      </c>
      <c r="AA12" s="334">
        <f t="shared" ca="1" si="24"/>
        <v>2.6905835996107623E-2</v>
      </c>
      <c r="AB12" s="335">
        <f t="shared" si="20"/>
        <v>1.3929563200000001</v>
      </c>
      <c r="AC12" s="336"/>
      <c r="AD12" s="336"/>
      <c r="AE12" s="317">
        <f t="shared" ca="1" si="21"/>
        <v>0.18065347025957976</v>
      </c>
      <c r="AF12" s="329"/>
      <c r="AG12" s="329">
        <f t="shared" ca="1" si="22"/>
        <v>2.4518010319692175E-2</v>
      </c>
      <c r="AH12" s="385">
        <f t="shared" ca="1" si="23"/>
        <v>4.7080464136285709</v>
      </c>
      <c r="AI12" s="330">
        <f t="shared" ca="1" si="25"/>
        <v>22.71690629549196</v>
      </c>
    </row>
    <row r="13" spans="1:36" x14ac:dyDescent="0.25">
      <c r="A13" s="410">
        <f>IF(Inputs!B18="","",IF(units=2,CONVERT(Inputs!B18,"ft","m"),Inputs!B18))</f>
        <v>7.7724000000000002</v>
      </c>
      <c r="B13" s="411">
        <f>IF(Inputs!G18="","",IF(units=2,CONVERT(Inputs!G18,"ft","m"),Inputs!G18))</f>
        <v>0.91439999999999999</v>
      </c>
      <c r="C13" s="409" t="str">
        <f>IF(A13="","",IF(OR(A13&lt;$B$3,Inputs!J18="No"),"Not_susc.","Susceptible"))</f>
        <v>Susceptible</v>
      </c>
      <c r="D13" s="354">
        <f ca="1">IF(OR(A13="",Method_BI=FALSE),NA(),'PB Liquefaction Initiation'!F15)</f>
        <v>29.14039966028972</v>
      </c>
      <c r="E13" s="295">
        <f ca="1">IF(OR(A13="",Method_BI=FALSE),NA(),'PB Liquefaction Initiation'!Q15)</f>
        <v>0.49659069667537709</v>
      </c>
      <c r="F13" s="355">
        <f ca="1">IF('PB Liquefaction Initiation'!P15="",NA(),'PB Liquefaction Initiation'!P15)</f>
        <v>0.34978821385211095</v>
      </c>
      <c r="G13" s="295">
        <f t="shared" ca="1" si="3"/>
        <v>1.4196896207753118</v>
      </c>
      <c r="H13" s="295">
        <f t="shared" ca="1" si="4"/>
        <v>-3.1504410263074156E-2</v>
      </c>
      <c r="I13" s="295">
        <f t="shared" ca="1" si="5"/>
        <v>5.2269401579537765E-2</v>
      </c>
      <c r="J13" s="295">
        <f t="shared" ca="1" si="6"/>
        <v>1.4436901333737245E-2</v>
      </c>
      <c r="K13" s="295">
        <f t="shared" ca="1" si="7"/>
        <v>3.0407778248857652E-4</v>
      </c>
      <c r="L13" s="356">
        <f t="shared" ca="1" si="8"/>
        <v>0.10292093908759756</v>
      </c>
      <c r="M13" s="346">
        <f t="shared" si="9"/>
        <v>18</v>
      </c>
      <c r="N13" s="309">
        <f t="shared" si="0"/>
        <v>0.35139999999999999</v>
      </c>
      <c r="O13" s="309">
        <f t="shared" si="10"/>
        <v>0.20919631756361817</v>
      </c>
      <c r="P13" s="309">
        <f t="shared" si="11"/>
        <v>0.59532247456920373</v>
      </c>
      <c r="Q13" s="347">
        <f t="shared" si="12"/>
        <v>0.61939999999999995</v>
      </c>
      <c r="R13" s="309">
        <f t="shared" si="13"/>
        <v>0.19854972970494197</v>
      </c>
      <c r="S13" s="309">
        <f t="shared" si="14"/>
        <v>0.19854972970494197</v>
      </c>
      <c r="T13" s="309">
        <f t="shared" si="15"/>
        <v>2.4310291649609277E-2</v>
      </c>
      <c r="U13" s="348">
        <f t="shared" si="16"/>
        <v>0.96941978730039002</v>
      </c>
      <c r="V13" s="312">
        <f t="shared" ca="1" si="17"/>
        <v>1.3567007976971137</v>
      </c>
      <c r="W13" s="344">
        <f t="shared" ca="1" si="1"/>
        <v>0</v>
      </c>
      <c r="X13" s="319">
        <f t="shared" ca="1" si="2"/>
        <v>0</v>
      </c>
      <c r="Y13" s="325">
        <f t="shared" ca="1" si="18"/>
        <v>0</v>
      </c>
      <c r="Z13" s="333">
        <f t="shared" si="19"/>
        <v>0.56820000000000004</v>
      </c>
      <c r="AA13" s="334">
        <f t="shared" ca="1" si="24"/>
        <v>0</v>
      </c>
      <c r="AB13" s="335">
        <f t="shared" si="20"/>
        <v>0.51956208000000004</v>
      </c>
      <c r="AC13" s="381"/>
      <c r="AD13" s="336"/>
      <c r="AE13" s="317">
        <f t="shared" ca="1" si="21"/>
        <v>0</v>
      </c>
      <c r="AF13" s="329"/>
      <c r="AG13" s="329">
        <f t="shared" ca="1" si="22"/>
        <v>0</v>
      </c>
      <c r="AH13" s="385">
        <f t="shared" ca="1" si="23"/>
        <v>0</v>
      </c>
      <c r="AI13" s="330">
        <f t="shared" ca="1" si="25"/>
        <v>18.00885988186339</v>
      </c>
    </row>
    <row r="14" spans="1:36" x14ac:dyDescent="0.25">
      <c r="A14" s="410">
        <f>IF(Inputs!B19="","",IF(units=2,CONVERT(Inputs!B19,"ft","m"),Inputs!B19))</f>
        <v>9.2964000000000002</v>
      </c>
      <c r="B14" s="411">
        <f>IF(Inputs!G19="","",IF(units=2,CONVERT(Inputs!G19,"ft","m"),Inputs!G19))</f>
        <v>2.1335999999999999</v>
      </c>
      <c r="C14" s="409" t="str">
        <f>IF(A14="","",IF(OR(A14&lt;$B$3,Inputs!J19="No"),"Not_susc.","Susceptible"))</f>
        <v>Susceptible</v>
      </c>
      <c r="D14" s="354">
        <f ca="1">IF(OR(A14="",Method_BI=FALSE),NA(),'PB Liquefaction Initiation'!F16)</f>
        <v>21.337630575889257</v>
      </c>
      <c r="E14" s="295">
        <f ca="1">IF(OR(A14="",Method_BI=FALSE),NA(),'PB Liquefaction Initiation'!Q16)</f>
        <v>0.25433828936835712</v>
      </c>
      <c r="F14" s="355">
        <f ca="1">IF('PB Liquefaction Initiation'!P16="",NA(),'PB Liquefaction Initiation'!P16)</f>
        <v>0.38434246369067387</v>
      </c>
      <c r="G14" s="295">
        <f t="shared" ca="1" si="3"/>
        <v>0.66174912583443657</v>
      </c>
      <c r="H14" s="295">
        <f t="shared" ca="1" si="4"/>
        <v>0.44540247610388173</v>
      </c>
      <c r="I14" s="295">
        <f t="shared" ca="1" si="5"/>
        <v>0.13667589506107522</v>
      </c>
      <c r="J14" s="295">
        <f t="shared" ca="1" si="6"/>
        <v>0.12006967416917939</v>
      </c>
      <c r="K14" s="295">
        <f t="shared" ca="1" si="7"/>
        <v>2.0338256521461238E-2</v>
      </c>
      <c r="L14" s="356">
        <f t="shared" ca="1" si="8"/>
        <v>0.93194784011250043</v>
      </c>
      <c r="M14" s="346">
        <f t="shared" si="9"/>
        <v>18</v>
      </c>
      <c r="N14" s="309">
        <f t="shared" si="0"/>
        <v>0.35139999999999999</v>
      </c>
      <c r="O14" s="309">
        <f t="shared" si="10"/>
        <v>0.20919631756361817</v>
      </c>
      <c r="P14" s="309">
        <f t="shared" si="11"/>
        <v>0.59532247456920373</v>
      </c>
      <c r="Q14" s="347">
        <f t="shared" si="12"/>
        <v>0.61939999999999995</v>
      </c>
      <c r="R14" s="309">
        <f t="shared" si="13"/>
        <v>0.19854972970494197</v>
      </c>
      <c r="S14" s="309">
        <f t="shared" si="14"/>
        <v>0.19854972970494197</v>
      </c>
      <c r="T14" s="309">
        <f t="shared" si="15"/>
        <v>2.4310291649609277E-2</v>
      </c>
      <c r="U14" s="348">
        <f t="shared" si="16"/>
        <v>0.96941978730039002</v>
      </c>
      <c r="V14" s="312">
        <f t="shared" ca="1" si="17"/>
        <v>1.0364841466328927</v>
      </c>
      <c r="W14" s="344">
        <f t="shared" ca="1" si="1"/>
        <v>1.9138231219913593E-2</v>
      </c>
      <c r="X14" s="319">
        <f t="shared" ca="1" si="2"/>
        <v>2.0000335573725637E-2</v>
      </c>
      <c r="Y14" s="325">
        <f t="shared" ca="1" si="18"/>
        <v>2.0000335573725638</v>
      </c>
      <c r="Z14" s="333">
        <f t="shared" si="19"/>
        <v>0.48353333333333337</v>
      </c>
      <c r="AA14" s="334">
        <f t="shared" ca="1" si="24"/>
        <v>2.0633680600244848E-2</v>
      </c>
      <c r="AB14" s="335">
        <f t="shared" si="20"/>
        <v>1.03166672</v>
      </c>
      <c r="AC14" s="394"/>
      <c r="AD14" s="336"/>
      <c r="AE14" s="317">
        <f t="shared" ca="1" si="21"/>
        <v>0.13854042688735829</v>
      </c>
      <c r="AF14" s="329"/>
      <c r="AG14" s="329">
        <f t="shared" ca="1" si="22"/>
        <v>1.8802493033973074E-2</v>
      </c>
      <c r="AH14" s="385">
        <f t="shared" ca="1" si="23"/>
        <v>3.6105299223556453</v>
      </c>
      <c r="AI14" s="330">
        <f t="shared" ca="1" si="25"/>
        <v>18.00885988186339</v>
      </c>
    </row>
    <row r="15" spans="1:36" x14ac:dyDescent="0.25">
      <c r="A15" s="410">
        <f>IF(Inputs!B20="","",IF(units=2,CONVERT(Inputs!B20,"ft","m"),Inputs!B20))</f>
        <v>10.820399999999999</v>
      </c>
      <c r="B15" s="411">
        <f>IF(Inputs!G20="","",IF(units=2,CONVERT(Inputs!G20,"ft","m"),Inputs!G20))</f>
        <v>0.91439999999999999</v>
      </c>
      <c r="C15" s="409" t="str">
        <f>IF(A15="","",IF(OR(A15&lt;$B$3,Inputs!J20="No"),"Not_susc.","Susceptible"))</f>
        <v>Susceptible</v>
      </c>
      <c r="D15" s="354">
        <f ca="1">IF(OR(A15="",Method_BI=FALSE),NA(),'PB Liquefaction Initiation'!F17)</f>
        <v>9.4876390112066709</v>
      </c>
      <c r="E15" s="295">
        <f ca="1">IF(OR(A15="",Method_BI=FALSE),NA(),'PB Liquefaction Initiation'!Q17)</f>
        <v>0.1304252794205025</v>
      </c>
      <c r="F15" s="355">
        <f ca="1">IF('PB Liquefaction Initiation'!P17="",NA(),'PB Liquefaction Initiation'!P17)</f>
        <v>0.41343030456417246</v>
      </c>
      <c r="G15" s="295">
        <f t="shared" ca="1" si="3"/>
        <v>0.31547101888912921</v>
      </c>
      <c r="H15" s="295">
        <f t="shared" ca="1" si="4"/>
        <v>0.92394570935796927</v>
      </c>
      <c r="I15" s="295">
        <f t="shared" ca="1" si="5"/>
        <v>0.50080955459082255</v>
      </c>
      <c r="J15" s="295">
        <f t="shared" ca="1" si="6"/>
        <v>0.50080955459082255</v>
      </c>
      <c r="K15" s="295">
        <f t="shared" ca="1" si="7"/>
        <v>3.8508613550739881E-2</v>
      </c>
      <c r="L15" s="356">
        <f t="shared" ca="1" si="8"/>
        <v>0.99998441976639829</v>
      </c>
      <c r="M15" s="346">
        <f t="shared" si="9"/>
        <v>18</v>
      </c>
      <c r="N15" s="309">
        <f t="shared" si="0"/>
        <v>0.35139999999999999</v>
      </c>
      <c r="O15" s="309">
        <f t="shared" si="10"/>
        <v>0.20919631756361817</v>
      </c>
      <c r="P15" s="309">
        <f t="shared" si="11"/>
        <v>0.59532247456920373</v>
      </c>
      <c r="Q15" s="347">
        <f t="shared" si="12"/>
        <v>0.61939999999999995</v>
      </c>
      <c r="R15" s="309">
        <f t="shared" si="13"/>
        <v>0.19854972970494197</v>
      </c>
      <c r="S15" s="309">
        <f t="shared" si="14"/>
        <v>0.19854972970494197</v>
      </c>
      <c r="T15" s="309">
        <f t="shared" si="15"/>
        <v>2.4310291649609277E-2</v>
      </c>
      <c r="U15" s="348">
        <f t="shared" si="16"/>
        <v>0.96941978730039002</v>
      </c>
      <c r="V15" s="312">
        <f t="shared" ca="1" si="17"/>
        <v>0.89731192211359367</v>
      </c>
      <c r="W15" s="344">
        <f t="shared" ca="1" si="1"/>
        <v>3.6843020998393025E-2</v>
      </c>
      <c r="X15" s="319">
        <f t="shared" ca="1" si="2"/>
        <v>5.4372637405831661E-2</v>
      </c>
      <c r="Y15" s="325">
        <f t="shared" ca="1" si="18"/>
        <v>5.4372637405831661</v>
      </c>
      <c r="Z15" s="333">
        <f t="shared" si="19"/>
        <v>0.3988666666666667</v>
      </c>
      <c r="AA15" s="334">
        <f t="shared" ca="1" si="24"/>
        <v>1.9830988405960578E-2</v>
      </c>
      <c r="AB15" s="335">
        <f t="shared" si="20"/>
        <v>0.36472368000000005</v>
      </c>
      <c r="AC15" s="381"/>
      <c r="AD15" s="336"/>
      <c r="AE15" s="317">
        <f t="shared" ca="1" si="21"/>
        <v>0.31068548502671572</v>
      </c>
      <c r="AF15" s="329"/>
      <c r="AG15" s="329">
        <f t="shared" ca="1" si="22"/>
        <v>4.216575478521508E-2</v>
      </c>
      <c r="AH15" s="385">
        <f t="shared" ca="1" si="23"/>
        <v>3.4700729558040599</v>
      </c>
      <c r="AI15" s="330">
        <f t="shared" ca="1" si="25"/>
        <v>14.398329959507745</v>
      </c>
    </row>
    <row r="16" spans="1:36" x14ac:dyDescent="0.25">
      <c r="A16" s="410">
        <f>IF(Inputs!B21="","",IF(units=2,CONVERT(Inputs!B21,"ft","m"),Inputs!B21))</f>
        <v>12.4968</v>
      </c>
      <c r="B16" s="411">
        <f>IF(Inputs!G21="","",IF(units=2,CONVERT(Inputs!G21,"ft","m"),Inputs!G21))</f>
        <v>2.4384000000000001</v>
      </c>
      <c r="C16" s="409" t="str">
        <f>IF(A16="","",IF(OR(A16&lt;$B$3,Inputs!J21="No"),"Not_susc.","Susceptible"))</f>
        <v>Not_susc.</v>
      </c>
      <c r="D16" s="354">
        <f ca="1">IF(OR(A16="",Method_BI=FALSE),NA(),'PB Liquefaction Initiation'!F18)</f>
        <v>7.3030476983682764</v>
      </c>
      <c r="E16" s="295">
        <f ca="1">IF(OR(A16="",Method_BI=FALSE),NA(),'PB Liquefaction Initiation'!Q18)</f>
        <v>0.11400729285551024</v>
      </c>
      <c r="F16" s="355" t="e">
        <f ca="1">IF('PB Liquefaction Initiation'!P18="",NA(),'PB Liquefaction Initiation'!P18)</f>
        <v>#N/A</v>
      </c>
      <c r="G16" s="295" t="e">
        <f t="shared" ca="1" si="3"/>
        <v>#N/A</v>
      </c>
      <c r="H16" s="295">
        <f t="shared" ca="1" si="4"/>
        <v>0.94727025978708057</v>
      </c>
      <c r="I16" s="295">
        <f t="shared" ca="1" si="5"/>
        <v>0.64188382601693383</v>
      </c>
      <c r="J16" s="295" t="e">
        <f t="shared" ca="1" si="6"/>
        <v>#N/A</v>
      </c>
      <c r="K16" s="295" t="e">
        <f t="shared" ca="1" si="7"/>
        <v>#N/A</v>
      </c>
      <c r="L16" s="356" t="e">
        <f t="shared" ca="1" si="8"/>
        <v>#N/A</v>
      </c>
      <c r="M16" s="346">
        <f t="shared" si="9"/>
        <v>18</v>
      </c>
      <c r="N16" s="309">
        <f t="shared" si="0"/>
        <v>0.35139999999999999</v>
      </c>
      <c r="O16" s="309">
        <f t="shared" si="10"/>
        <v>0.20919631756361817</v>
      </c>
      <c r="P16" s="309">
        <f t="shared" si="11"/>
        <v>0.59532247456920373</v>
      </c>
      <c r="Q16" s="347">
        <f t="shared" si="12"/>
        <v>0.61939999999999995</v>
      </c>
      <c r="R16" s="309">
        <f t="shared" si="13"/>
        <v>0.19854972970494197</v>
      </c>
      <c r="S16" s="309">
        <f t="shared" si="14"/>
        <v>0.19854972970494197</v>
      </c>
      <c r="T16" s="309">
        <f t="shared" si="15"/>
        <v>2.4310291649609277E-2</v>
      </c>
      <c r="U16" s="348">
        <f t="shared" si="16"/>
        <v>0.96941978730039002</v>
      </c>
      <c r="V16" s="312" t="e">
        <f t="shared" ca="1" si="17"/>
        <v>#N/A</v>
      </c>
      <c r="W16" s="344" t="e">
        <f t="shared" ca="1" si="1"/>
        <v>#N/A</v>
      </c>
      <c r="X16" s="319" t="e">
        <f t="shared" ca="1" si="2"/>
        <v>#N/A</v>
      </c>
      <c r="Y16" s="325" t="e">
        <f t="shared" ca="1" si="18"/>
        <v>#N/A</v>
      </c>
      <c r="Z16" s="333">
        <f t="shared" si="19"/>
        <v>0.3057333333333333</v>
      </c>
      <c r="AA16" s="334" t="e">
        <f t="shared" ca="1" si="24"/>
        <v>#N/A</v>
      </c>
      <c r="AB16" s="335" t="e">
        <f t="shared" si="20"/>
        <v>#N/A</v>
      </c>
      <c r="AC16" s="394"/>
      <c r="AD16" s="336"/>
      <c r="AE16" s="317" t="e">
        <f t="shared" ca="1" si="21"/>
        <v>#N/A</v>
      </c>
      <c r="AF16" s="329"/>
      <c r="AG16" s="329" t="e">
        <f t="shared" ca="1" si="22"/>
        <v>#N/A</v>
      </c>
      <c r="AH16" s="385" t="e">
        <f t="shared" ca="1" si="23"/>
        <v>#N/A</v>
      </c>
      <c r="AI16" s="330">
        <f t="shared" ca="1" si="25"/>
        <v>10.928257003703685</v>
      </c>
    </row>
    <row r="17" spans="1:35" x14ac:dyDescent="0.25">
      <c r="A17" s="410">
        <f>IF(Inputs!B22="","",IF(units=2,CONVERT(Inputs!B22,"ft","m"),Inputs!B22))</f>
        <v>13.715999999999999</v>
      </c>
      <c r="B17" s="411">
        <f>IF(Inputs!G22="","",IF(units=2,CONVERT(Inputs!G22,"ft","m"),Inputs!G22))</f>
        <v>0.91439999999999999</v>
      </c>
      <c r="C17" s="409" t="str">
        <f>IF(A17="","",IF(OR(A17&lt;$B$3,Inputs!J22="No"),"Not_susc.","Susceptible"))</f>
        <v>Susceptible</v>
      </c>
      <c r="D17" s="354">
        <f ca="1">IF(OR(A17="",Method_BI=FALSE),NA(),'PB Liquefaction Initiation'!F19)</f>
        <v>1.6327566637818389</v>
      </c>
      <c r="E17" s="295">
        <f ca="1">IF(OR(A17="",Method_BI=FALSE),NA(),'PB Liquefaction Initiation'!Q19)</f>
        <v>7.774291842473656E-2</v>
      </c>
      <c r="F17" s="355">
        <f ca="1">IF('PB Liquefaction Initiation'!P19="",NA(),'PB Liquefaction Initiation'!P19)</f>
        <v>0.3993356758905604</v>
      </c>
      <c r="G17" s="295">
        <f t="shared" ca="1" si="3"/>
        <v>0.19468062364165611</v>
      </c>
      <c r="H17" s="295">
        <f t="shared" ca="1" si="4"/>
        <v>0.70141926619459649</v>
      </c>
      <c r="I17" s="295">
        <f t="shared" ca="1" si="5"/>
        <v>1.4082889447337894</v>
      </c>
      <c r="J17" s="295">
        <f t="shared" ca="1" si="6"/>
        <v>1.4082889447337894</v>
      </c>
      <c r="K17" s="295">
        <f t="shared" ca="1" si="7"/>
        <v>7.4887416822837616E-2</v>
      </c>
      <c r="L17" s="356">
        <f t="shared" ca="1" si="8"/>
        <v>0.99999999826210184</v>
      </c>
      <c r="M17" s="346">
        <f t="shared" si="9"/>
        <v>18</v>
      </c>
      <c r="N17" s="309">
        <f t="shared" si="0"/>
        <v>0.35139999999999999</v>
      </c>
      <c r="O17" s="309">
        <f t="shared" si="10"/>
        <v>0.20919631756361817</v>
      </c>
      <c r="P17" s="309">
        <f t="shared" si="11"/>
        <v>0.59532247456920373</v>
      </c>
      <c r="Q17" s="347">
        <f t="shared" si="12"/>
        <v>0.61939999999999995</v>
      </c>
      <c r="R17" s="309">
        <f t="shared" si="13"/>
        <v>0.19854972970494197</v>
      </c>
      <c r="S17" s="309">
        <f t="shared" si="14"/>
        <v>0.19854972970494197</v>
      </c>
      <c r="T17" s="309">
        <f t="shared" si="15"/>
        <v>2.4310291649609277E-2</v>
      </c>
      <c r="U17" s="348">
        <f t="shared" si="16"/>
        <v>0.96941978730039002</v>
      </c>
      <c r="V17" s="312">
        <f t="shared" ca="1" si="17"/>
        <v>0.73137685018431342</v>
      </c>
      <c r="W17" s="344">
        <f t="shared" ca="1" si="1"/>
        <v>7.2504073522097812E-2</v>
      </c>
      <c r="X17" s="319">
        <f t="shared" ca="1" si="2"/>
        <v>0.18962646032333808</v>
      </c>
      <c r="Y17" s="325">
        <f t="shared" ca="1" si="18"/>
        <v>18.962646032333808</v>
      </c>
      <c r="Z17" s="333">
        <f t="shared" si="19"/>
        <v>0.23799999999999999</v>
      </c>
      <c r="AA17" s="334">
        <f t="shared" ca="1" si="24"/>
        <v>4.1267875606079162E-2</v>
      </c>
      <c r="AB17" s="335">
        <f t="shared" si="20"/>
        <v>0.21762719999999999</v>
      </c>
      <c r="AC17" s="336"/>
      <c r="AD17" s="336"/>
      <c r="AE17" s="317">
        <f t="shared" ca="1" si="21"/>
        <v>0.64653005116190687</v>
      </c>
      <c r="AF17" s="329"/>
      <c r="AG17" s="329">
        <f t="shared" ca="1" si="22"/>
        <v>8.7746061249759782E-2</v>
      </c>
      <c r="AH17" s="385">
        <f t="shared" ca="1" si="23"/>
        <v>7.2211498566102321</v>
      </c>
      <c r="AI17" s="330">
        <f t="shared" ca="1" si="25"/>
        <v>10.928257003703685</v>
      </c>
    </row>
    <row r="18" spans="1:35" x14ac:dyDescent="0.25">
      <c r="A18" s="410">
        <f>IF(Inputs!B23="","",IF(units=2,CONVERT(Inputs!B23,"ft","m"),Inputs!B23))</f>
        <v>15.6972</v>
      </c>
      <c r="B18" s="411">
        <f>IF(Inputs!G23="","",IF(units=2,CONVERT(Inputs!G23,"ft","m"),Inputs!G23))</f>
        <v>2.1335999999999999</v>
      </c>
      <c r="C18" s="409" t="str">
        <f>IF(A18="","",IF(OR(A18&lt;$B$3,Inputs!J23="No"),"Not_susc.","Susceptible"))</f>
        <v>Susceptible</v>
      </c>
      <c r="D18" s="354">
        <f ca="1">IF(OR(A18="",Method_BI=FALSE),NA(),'PB Liquefaction Initiation'!F20)</f>
        <v>9.6599215676559655</v>
      </c>
      <c r="E18" s="295">
        <f ca="1">IF(OR(A18="",Method_BI=FALSE),NA(),'PB Liquefaction Initiation'!Q20)</f>
        <v>0.13177233281099929</v>
      </c>
      <c r="F18" s="355">
        <f ca="1">IF('PB Liquefaction Initiation'!P20="",NA(),'PB Liquefaction Initiation'!P20)</f>
        <v>0.37845267566951402</v>
      </c>
      <c r="G18" s="295">
        <f t="shared" ca="1" si="3"/>
        <v>0.34818708198556969</v>
      </c>
      <c r="H18" s="295">
        <f t="shared" ca="1" si="4"/>
        <v>0.92075878701841929</v>
      </c>
      <c r="I18" s="295">
        <f t="shared" ca="1" si="5"/>
        <v>0.49132111759457353</v>
      </c>
      <c r="J18" s="295">
        <f t="shared" ca="1" si="6"/>
        <v>0.49132111759457353</v>
      </c>
      <c r="K18" s="295">
        <f t="shared" ca="1" si="7"/>
        <v>3.811296732975665E-2</v>
      </c>
      <c r="L18" s="356">
        <f t="shared" ca="1" si="8"/>
        <v>0.99993012361851308</v>
      </c>
      <c r="M18" s="346">
        <f t="shared" si="9"/>
        <v>18</v>
      </c>
      <c r="N18" s="309">
        <f t="shared" si="0"/>
        <v>0.35139999999999999</v>
      </c>
      <c r="O18" s="309">
        <f t="shared" si="10"/>
        <v>0.20919631756361817</v>
      </c>
      <c r="P18" s="309">
        <f t="shared" si="11"/>
        <v>0.59532247456920373</v>
      </c>
      <c r="Q18" s="347">
        <f t="shared" si="12"/>
        <v>0.61939999999999995</v>
      </c>
      <c r="R18" s="309">
        <f t="shared" si="13"/>
        <v>0.19854972970494197</v>
      </c>
      <c r="S18" s="309">
        <f t="shared" si="14"/>
        <v>0.19854972970494197</v>
      </c>
      <c r="T18" s="309">
        <f t="shared" si="15"/>
        <v>2.4310291649609277E-2</v>
      </c>
      <c r="U18" s="348">
        <f t="shared" si="16"/>
        <v>0.96941978730039002</v>
      </c>
      <c r="V18" s="312">
        <f t="shared" ca="1" si="17"/>
        <v>0.8997404205361057</v>
      </c>
      <c r="W18" s="344">
        <f t="shared" ca="1" si="1"/>
        <v>3.645656653446832E-2</v>
      </c>
      <c r="X18" s="319">
        <f t="shared" ca="1" si="2"/>
        <v>5.3424667987769361E-2</v>
      </c>
      <c r="Y18" s="325">
        <f t="shared" ca="1" si="18"/>
        <v>5.3424667987769361</v>
      </c>
      <c r="Z18" s="333">
        <f t="shared" si="19"/>
        <v>0.12793333333333334</v>
      </c>
      <c r="AA18" s="334">
        <f t="shared" ca="1" si="24"/>
        <v>1.4582720442419622E-2</v>
      </c>
      <c r="AB18" s="335">
        <f t="shared" si="20"/>
        <v>0.27295856000000002</v>
      </c>
      <c r="AC18" s="336"/>
      <c r="AD18" s="336"/>
      <c r="AE18" s="317">
        <f t="shared" ca="1" si="21"/>
        <v>9.7912551541960338E-2</v>
      </c>
      <c r="AF18" s="329"/>
      <c r="AG18" s="329">
        <f t="shared" ca="1" si="22"/>
        <v>1.3288540461933776E-2</v>
      </c>
      <c r="AH18" s="385">
        <f t="shared" ca="1" si="23"/>
        <v>2.5517186936623708</v>
      </c>
      <c r="AI18" s="330">
        <f t="shared" ca="1" si="25"/>
        <v>3.7071071470934518</v>
      </c>
    </row>
    <row r="19" spans="1:35" x14ac:dyDescent="0.25">
      <c r="A19" s="410">
        <f>IF(Inputs!B24="","",IF(units=2,CONVERT(Inputs!B24,"ft","m"),Inputs!B24))</f>
        <v>17.3736</v>
      </c>
      <c r="B19" s="411">
        <f>IF(Inputs!G24="","",IF(units=2,CONVERT(Inputs!G24,"ft","m"),Inputs!G24))</f>
        <v>1.2192000000000001</v>
      </c>
      <c r="C19" s="409" t="str">
        <f>IF(A19="","",IF(OR(A19&lt;$B$3,Inputs!J24="No"),"Not_susc.","Susceptible"))</f>
        <v>Susceptible</v>
      </c>
      <c r="D19" s="354">
        <f ca="1">IF(OR(A19="",Method_BI=FALSE),NA(),'PB Liquefaction Initiation'!F21)</f>
        <v>2.3758590121854533</v>
      </c>
      <c r="E19" s="295">
        <f ca="1">IF(OR(A19="",Method_BI=FALSE),NA(),'PB Liquefaction Initiation'!Q21)</f>
        <v>8.1913820303973858E-2</v>
      </c>
      <c r="F19" s="355">
        <f ca="1">IF('PB Liquefaction Initiation'!P21="",NA(),'PB Liquefaction Initiation'!P21)</f>
        <v>0.36959317274726489</v>
      </c>
      <c r="G19" s="295">
        <f t="shared" ca="1" si="3"/>
        <v>0.22163239568277454</v>
      </c>
      <c r="H19" s="295">
        <f t="shared" ca="1" si="4"/>
        <v>0.7866920297876151</v>
      </c>
      <c r="I19" s="295">
        <f t="shared" ca="1" si="5"/>
        <v>1.2357410117235026</v>
      </c>
      <c r="J19" s="295">
        <f t="shared" ca="1" si="6"/>
        <v>1.2357410117235026</v>
      </c>
      <c r="K19" s="295">
        <f t="shared" ca="1" si="7"/>
        <v>6.7946572181170756E-2</v>
      </c>
      <c r="L19" s="356">
        <f t="shared" ca="1" si="8"/>
        <v>0.99999997325692302</v>
      </c>
      <c r="M19" s="346">
        <f t="shared" si="9"/>
        <v>18</v>
      </c>
      <c r="N19" s="309">
        <f t="shared" si="0"/>
        <v>0.35139999999999999</v>
      </c>
      <c r="O19" s="309">
        <f t="shared" si="10"/>
        <v>0.20919631756361817</v>
      </c>
      <c r="P19" s="309">
        <f t="shared" si="11"/>
        <v>0.59532247456920373</v>
      </c>
      <c r="Q19" s="347">
        <f t="shared" si="12"/>
        <v>0.61939999999999995</v>
      </c>
      <c r="R19" s="309">
        <f t="shared" si="13"/>
        <v>0.19854972970494197</v>
      </c>
      <c r="S19" s="309">
        <f t="shared" si="14"/>
        <v>0.19854972970494197</v>
      </c>
      <c r="T19" s="309">
        <f t="shared" si="15"/>
        <v>2.4310291649609277E-2</v>
      </c>
      <c r="U19" s="348">
        <f t="shared" si="16"/>
        <v>0.96941978730039002</v>
      </c>
      <c r="V19" s="312">
        <f t="shared" ca="1" si="17"/>
        <v>0.75667175267398812</v>
      </c>
      <c r="W19" s="344">
        <f t="shared" ca="1" si="1"/>
        <v>6.5683524122823994E-2</v>
      </c>
      <c r="X19" s="319">
        <f t="shared" ca="1" si="2"/>
        <v>0.15562507727956096</v>
      </c>
      <c r="Y19" s="325">
        <f t="shared" ca="1" si="18"/>
        <v>15.562507727956095</v>
      </c>
      <c r="Z19" s="333">
        <f t="shared" si="19"/>
        <v>3.4800000000000053E-2</v>
      </c>
      <c r="AA19" s="334">
        <f t="shared" ca="1" si="24"/>
        <v>6.6028856788295873E-3</v>
      </c>
      <c r="AB19" s="335">
        <f t="shared" si="20"/>
        <v>4.2428160000000069E-2</v>
      </c>
      <c r="AC19" s="336"/>
      <c r="AD19" s="336"/>
      <c r="AE19" s="317">
        <f t="shared" ca="1" si="21"/>
        <v>7.7583906726247653E-2</v>
      </c>
      <c r="AF19" s="329"/>
      <c r="AG19" s="329">
        <f t="shared" ca="1" si="22"/>
        <v>1.0529568145150561E-2</v>
      </c>
      <c r="AH19" s="385">
        <f t="shared" ca="1" si="23"/>
        <v>1.155388453431081</v>
      </c>
      <c r="AI19" s="330">
        <f t="shared" ca="1" si="25"/>
        <v>1.155388453431081</v>
      </c>
    </row>
    <row r="20" spans="1:35" x14ac:dyDescent="0.25">
      <c r="A20" s="410" t="str">
        <f>IF(Inputs!B25="","",IF(units=2,CONVERT(Inputs!B25,"ft","m"),Inputs!B25))</f>
        <v/>
      </c>
      <c r="B20" s="411" t="str">
        <f>IF(Inputs!G25="","",IF(units=2,CONVERT(Inputs!G25,"ft","m"),Inputs!G25))</f>
        <v/>
      </c>
      <c r="C20" s="409" t="str">
        <f>IF(A20="","",IF(OR(A20&lt;$B$3,Inputs!J25="No"),"Not_susc.","Susceptible"))</f>
        <v/>
      </c>
      <c r="D20" s="354" t="e">
        <f>IF(OR(A20="",Method_BI=FALSE),NA(),'PB Liquefaction Initiation'!F22)</f>
        <v>#N/A</v>
      </c>
      <c r="E20" s="295" t="e">
        <f>IF(OR(A20="",Method_BI=FALSE),NA(),'PB Liquefaction Initiation'!Q22)</f>
        <v>#N/A</v>
      </c>
      <c r="F20" s="355" t="e">
        <f>IF('PB Liquefaction Initiation'!P22="",NA(),'PB Liquefaction Initiation'!P22)</f>
        <v>#N/A</v>
      </c>
      <c r="G20" s="295" t="e">
        <f t="shared" si="3"/>
        <v>#N/A</v>
      </c>
      <c r="H20" s="295" t="e">
        <f t="shared" si="4"/>
        <v>#N/A</v>
      </c>
      <c r="I20" s="295" t="e">
        <f t="shared" si="5"/>
        <v>#N/A</v>
      </c>
      <c r="J20" s="295" t="e">
        <f t="shared" si="6"/>
        <v>#N/A</v>
      </c>
      <c r="K20" s="295" t="e">
        <f t="shared" si="7"/>
        <v>#N/A</v>
      </c>
      <c r="L20" s="356" t="e">
        <f t="shared" si="8"/>
        <v>#N/A</v>
      </c>
      <c r="M20" s="346" t="e">
        <f t="shared" si="9"/>
        <v>#N/A</v>
      </c>
      <c r="N20" s="309" t="e">
        <f t="shared" si="0"/>
        <v>#N/A</v>
      </c>
      <c r="O20" s="309" t="e">
        <f t="shared" si="10"/>
        <v>#N/A</v>
      </c>
      <c r="P20" s="309" t="e">
        <f t="shared" si="11"/>
        <v>#N/A</v>
      </c>
      <c r="Q20" s="347" t="e">
        <f t="shared" si="12"/>
        <v>#N/A</v>
      </c>
      <c r="R20" s="309" t="e">
        <f t="shared" si="13"/>
        <v>#N/A</v>
      </c>
      <c r="S20" s="309" t="e">
        <f t="shared" si="14"/>
        <v>#N/A</v>
      </c>
      <c r="T20" s="309" t="e">
        <f t="shared" si="15"/>
        <v>#N/A</v>
      </c>
      <c r="U20" s="348" t="e">
        <f t="shared" si="16"/>
        <v>#N/A</v>
      </c>
      <c r="V20" s="312" t="e">
        <f t="shared" si="17"/>
        <v>#N/A</v>
      </c>
      <c r="W20" s="344" t="e">
        <f t="shared" si="1"/>
        <v>#N/A</v>
      </c>
      <c r="X20" s="319" t="e">
        <f t="shared" si="2"/>
        <v>#N/A</v>
      </c>
      <c r="Y20" s="325" t="e">
        <f t="shared" si="18"/>
        <v>#N/A</v>
      </c>
      <c r="Z20" s="333" t="e">
        <f t="shared" si="19"/>
        <v>#N/A</v>
      </c>
      <c r="AA20" s="334" t="e">
        <f t="shared" si="24"/>
        <v>#N/A</v>
      </c>
      <c r="AB20" s="335" t="e">
        <f t="shared" si="20"/>
        <v>#N/A</v>
      </c>
      <c r="AC20" s="336"/>
      <c r="AD20" s="336"/>
      <c r="AE20" s="317" t="e">
        <f t="shared" si="21"/>
        <v>#N/A</v>
      </c>
      <c r="AF20" s="329"/>
      <c r="AG20" s="329" t="e">
        <f t="shared" si="22"/>
        <v>#N/A</v>
      </c>
      <c r="AH20" s="385" t="e">
        <f t="shared" si="23"/>
        <v>#N/A</v>
      </c>
      <c r="AI20" s="330">
        <f t="shared" si="25"/>
        <v>0</v>
      </c>
    </row>
    <row r="21" spans="1:35" x14ac:dyDescent="0.25">
      <c r="A21" s="410" t="str">
        <f>IF(Inputs!B26="","",IF(units=2,CONVERT(Inputs!B26,"ft","m"),Inputs!B26))</f>
        <v/>
      </c>
      <c r="B21" s="411" t="str">
        <f>IF(Inputs!G26="","",IF(units=2,CONVERT(Inputs!G26,"ft","m"),Inputs!G26))</f>
        <v/>
      </c>
      <c r="C21" s="409" t="str">
        <f>IF(A21="","",IF(OR(A21&lt;$B$3,Inputs!J26="No"),"Not_susc.","Susceptible"))</f>
        <v/>
      </c>
      <c r="D21" s="354" t="e">
        <f>IF(OR(A21="",Method_BI=FALSE),NA(),'PB Liquefaction Initiation'!F23)</f>
        <v>#N/A</v>
      </c>
      <c r="E21" s="295" t="e">
        <f>IF(OR(A21="",Method_BI=FALSE),NA(),'PB Liquefaction Initiation'!Q23)</f>
        <v>#N/A</v>
      </c>
      <c r="F21" s="355" t="e">
        <f>IF('PB Liquefaction Initiation'!P23="",NA(),'PB Liquefaction Initiation'!P23)</f>
        <v>#N/A</v>
      </c>
      <c r="G21" s="295" t="e">
        <f t="shared" si="3"/>
        <v>#N/A</v>
      </c>
      <c r="H21" s="295" t="e">
        <f t="shared" si="4"/>
        <v>#N/A</v>
      </c>
      <c r="I21" s="295" t="e">
        <f t="shared" si="5"/>
        <v>#N/A</v>
      </c>
      <c r="J21" s="295" t="e">
        <f t="shared" si="6"/>
        <v>#N/A</v>
      </c>
      <c r="K21" s="295" t="e">
        <f t="shared" si="7"/>
        <v>#N/A</v>
      </c>
      <c r="L21" s="356" t="e">
        <f t="shared" si="8"/>
        <v>#N/A</v>
      </c>
      <c r="M21" s="346" t="e">
        <f t="shared" si="9"/>
        <v>#N/A</v>
      </c>
      <c r="N21" s="309" t="e">
        <f t="shared" si="0"/>
        <v>#N/A</v>
      </c>
      <c r="O21" s="309" t="e">
        <f t="shared" si="10"/>
        <v>#N/A</v>
      </c>
      <c r="P21" s="309" t="e">
        <f t="shared" si="11"/>
        <v>#N/A</v>
      </c>
      <c r="Q21" s="347" t="e">
        <f t="shared" si="12"/>
        <v>#N/A</v>
      </c>
      <c r="R21" s="309" t="e">
        <f t="shared" si="13"/>
        <v>#N/A</v>
      </c>
      <c r="S21" s="309" t="e">
        <f t="shared" si="14"/>
        <v>#N/A</v>
      </c>
      <c r="T21" s="309" t="e">
        <f t="shared" si="15"/>
        <v>#N/A</v>
      </c>
      <c r="U21" s="348" t="e">
        <f t="shared" si="16"/>
        <v>#N/A</v>
      </c>
      <c r="V21" s="312" t="e">
        <f t="shared" si="17"/>
        <v>#N/A</v>
      </c>
      <c r="W21" s="344" t="e">
        <f t="shared" si="1"/>
        <v>#N/A</v>
      </c>
      <c r="X21" s="319" t="e">
        <f t="shared" si="2"/>
        <v>#N/A</v>
      </c>
      <c r="Y21" s="325" t="e">
        <f t="shared" si="18"/>
        <v>#N/A</v>
      </c>
      <c r="Z21" s="333" t="e">
        <f t="shared" si="19"/>
        <v>#N/A</v>
      </c>
      <c r="AA21" s="334" t="e">
        <f t="shared" si="24"/>
        <v>#N/A</v>
      </c>
      <c r="AB21" s="335" t="e">
        <f t="shared" si="20"/>
        <v>#N/A</v>
      </c>
      <c r="AC21" s="336"/>
      <c r="AD21" s="336"/>
      <c r="AE21" s="317" t="e">
        <f t="shared" si="21"/>
        <v>#N/A</v>
      </c>
      <c r="AF21" s="329"/>
      <c r="AG21" s="329" t="e">
        <f t="shared" si="22"/>
        <v>#N/A</v>
      </c>
      <c r="AH21" s="385" t="e">
        <f t="shared" si="23"/>
        <v>#N/A</v>
      </c>
      <c r="AI21" s="330">
        <f>IF(OR(C21="",C21="Not_susc."),AI22,AI22+AH21)</f>
        <v>0</v>
      </c>
    </row>
    <row r="22" spans="1:35" x14ac:dyDescent="0.25">
      <c r="A22" s="410" t="str">
        <f>IF(Inputs!B27="","",IF(units=2,CONVERT(Inputs!B27,"ft","m"),Inputs!B27))</f>
        <v/>
      </c>
      <c r="B22" s="411" t="str">
        <f>IF(Inputs!G27="","",IF(units=2,CONVERT(Inputs!G27,"ft","m"),Inputs!G27))</f>
        <v/>
      </c>
      <c r="C22" s="409" t="str">
        <f>IF(A22="","",IF(OR(A22&lt;$B$3,Inputs!J27="No"),"Not_susc.","Susceptible"))</f>
        <v/>
      </c>
      <c r="D22" s="354" t="e">
        <f>IF(OR(A22="",Method_BI=FALSE),NA(),'PB Liquefaction Initiation'!F24)</f>
        <v>#N/A</v>
      </c>
      <c r="E22" s="295" t="e">
        <f>IF(OR(A22="",Method_BI=FALSE),NA(),'PB Liquefaction Initiation'!Q24)</f>
        <v>#N/A</v>
      </c>
      <c r="F22" s="355" t="e">
        <f>IF('PB Liquefaction Initiation'!P24="",NA(),'PB Liquefaction Initiation'!P24)</f>
        <v>#N/A</v>
      </c>
      <c r="G22" s="295" t="e">
        <f t="shared" si="3"/>
        <v>#N/A</v>
      </c>
      <c r="H22" s="295" t="e">
        <f t="shared" si="4"/>
        <v>#N/A</v>
      </c>
      <c r="I22" s="295" t="e">
        <f t="shared" si="5"/>
        <v>#N/A</v>
      </c>
      <c r="J22" s="295" t="e">
        <f t="shared" si="6"/>
        <v>#N/A</v>
      </c>
      <c r="K22" s="295" t="e">
        <f t="shared" si="7"/>
        <v>#N/A</v>
      </c>
      <c r="L22" s="356" t="e">
        <f t="shared" si="8"/>
        <v>#N/A</v>
      </c>
      <c r="M22" s="346" t="e">
        <f t="shared" si="9"/>
        <v>#N/A</v>
      </c>
      <c r="N22" s="309" t="e">
        <f t="shared" si="0"/>
        <v>#N/A</v>
      </c>
      <c r="O22" s="309" t="e">
        <f t="shared" si="10"/>
        <v>#N/A</v>
      </c>
      <c r="P22" s="309" t="e">
        <f t="shared" si="11"/>
        <v>#N/A</v>
      </c>
      <c r="Q22" s="347" t="e">
        <f t="shared" si="12"/>
        <v>#N/A</v>
      </c>
      <c r="R22" s="309" t="e">
        <f t="shared" si="13"/>
        <v>#N/A</v>
      </c>
      <c r="S22" s="309" t="e">
        <f t="shared" si="14"/>
        <v>#N/A</v>
      </c>
      <c r="T22" s="309" t="e">
        <f t="shared" si="15"/>
        <v>#N/A</v>
      </c>
      <c r="U22" s="348" t="e">
        <f t="shared" si="16"/>
        <v>#N/A</v>
      </c>
      <c r="V22" s="312" t="e">
        <f t="shared" si="17"/>
        <v>#N/A</v>
      </c>
      <c r="W22" s="344" t="e">
        <f t="shared" si="1"/>
        <v>#N/A</v>
      </c>
      <c r="X22" s="319" t="e">
        <f t="shared" si="2"/>
        <v>#N/A</v>
      </c>
      <c r="Y22" s="325" t="e">
        <f t="shared" si="18"/>
        <v>#N/A</v>
      </c>
      <c r="Z22" s="333" t="e">
        <f t="shared" si="19"/>
        <v>#N/A</v>
      </c>
      <c r="AA22" s="334" t="e">
        <f t="shared" si="24"/>
        <v>#N/A</v>
      </c>
      <c r="AB22" s="335" t="e">
        <f t="shared" si="20"/>
        <v>#N/A</v>
      </c>
      <c r="AC22" s="336"/>
      <c r="AD22" s="336"/>
      <c r="AE22" s="317" t="e">
        <f t="shared" si="21"/>
        <v>#N/A</v>
      </c>
      <c r="AF22" s="329"/>
      <c r="AG22" s="329" t="e">
        <f t="shared" si="22"/>
        <v>#N/A</v>
      </c>
      <c r="AH22" s="385" t="e">
        <f t="shared" si="23"/>
        <v>#N/A</v>
      </c>
      <c r="AI22" s="330">
        <f t="shared" si="25"/>
        <v>0</v>
      </c>
    </row>
    <row r="23" spans="1:35" x14ac:dyDescent="0.25">
      <c r="A23" s="410" t="str">
        <f>IF(Inputs!B28="","",IF(units=2,CONVERT(Inputs!B28,"ft","m"),Inputs!B28))</f>
        <v/>
      </c>
      <c r="B23" s="411" t="str">
        <f>IF(Inputs!G28="","",IF(units=2,CONVERT(Inputs!G28,"ft","m"),Inputs!G28))</f>
        <v/>
      </c>
      <c r="C23" s="409" t="str">
        <f>IF(A23="","",IF(OR(A23&lt;$B$3,Inputs!J28="No"),"Not_susc.","Susceptible"))</f>
        <v/>
      </c>
      <c r="D23" s="354" t="e">
        <f>IF(OR(A23="",Method_BI=FALSE),NA(),'PB Liquefaction Initiation'!F25)</f>
        <v>#N/A</v>
      </c>
      <c r="E23" s="295" t="e">
        <f>IF(OR(A23="",Method_BI=FALSE),NA(),'PB Liquefaction Initiation'!Q25)</f>
        <v>#N/A</v>
      </c>
      <c r="F23" s="355" t="e">
        <f>IF('PB Liquefaction Initiation'!P25="",NA(),'PB Liquefaction Initiation'!P25)</f>
        <v>#N/A</v>
      </c>
      <c r="G23" s="295" t="e">
        <f t="shared" si="3"/>
        <v>#N/A</v>
      </c>
      <c r="H23" s="295" t="e">
        <f t="shared" si="4"/>
        <v>#N/A</v>
      </c>
      <c r="I23" s="295" t="e">
        <f t="shared" si="5"/>
        <v>#N/A</v>
      </c>
      <c r="J23" s="295" t="e">
        <f t="shared" si="6"/>
        <v>#N/A</v>
      </c>
      <c r="K23" s="295" t="e">
        <f t="shared" si="7"/>
        <v>#N/A</v>
      </c>
      <c r="L23" s="356" t="e">
        <f t="shared" si="8"/>
        <v>#N/A</v>
      </c>
      <c r="M23" s="346" t="e">
        <f t="shared" si="9"/>
        <v>#N/A</v>
      </c>
      <c r="N23" s="309" t="e">
        <f t="shared" si="0"/>
        <v>#N/A</v>
      </c>
      <c r="O23" s="309" t="e">
        <f t="shared" si="10"/>
        <v>#N/A</v>
      </c>
      <c r="P23" s="309" t="e">
        <f t="shared" si="11"/>
        <v>#N/A</v>
      </c>
      <c r="Q23" s="347" t="e">
        <f t="shared" si="12"/>
        <v>#N/A</v>
      </c>
      <c r="R23" s="309" t="e">
        <f t="shared" si="13"/>
        <v>#N/A</v>
      </c>
      <c r="S23" s="309" t="e">
        <f t="shared" si="14"/>
        <v>#N/A</v>
      </c>
      <c r="T23" s="309" t="e">
        <f t="shared" si="15"/>
        <v>#N/A</v>
      </c>
      <c r="U23" s="348" t="e">
        <f t="shared" si="16"/>
        <v>#N/A</v>
      </c>
      <c r="V23" s="312" t="e">
        <f t="shared" si="17"/>
        <v>#N/A</v>
      </c>
      <c r="W23" s="344" t="e">
        <f t="shared" si="1"/>
        <v>#N/A</v>
      </c>
      <c r="X23" s="319" t="e">
        <f t="shared" si="2"/>
        <v>#N/A</v>
      </c>
      <c r="Y23" s="325" t="e">
        <f t="shared" si="18"/>
        <v>#N/A</v>
      </c>
      <c r="Z23" s="333" t="e">
        <f t="shared" si="19"/>
        <v>#N/A</v>
      </c>
      <c r="AA23" s="334" t="e">
        <f t="shared" si="24"/>
        <v>#N/A</v>
      </c>
      <c r="AB23" s="335" t="e">
        <f t="shared" si="20"/>
        <v>#N/A</v>
      </c>
      <c r="AC23" s="336"/>
      <c r="AD23" s="336"/>
      <c r="AE23" s="317" t="e">
        <f t="shared" si="21"/>
        <v>#N/A</v>
      </c>
      <c r="AF23" s="329"/>
      <c r="AG23" s="329" t="e">
        <f t="shared" si="22"/>
        <v>#N/A</v>
      </c>
      <c r="AH23" s="385" t="e">
        <f t="shared" si="23"/>
        <v>#N/A</v>
      </c>
      <c r="AI23" s="330">
        <f>IF(OR(C23="",C23="Not_susc."),AI24,AI24+AH23)</f>
        <v>0</v>
      </c>
    </row>
    <row r="24" spans="1:35" x14ac:dyDescent="0.25">
      <c r="A24" s="410" t="str">
        <f>IF(Inputs!B29="","",IF(units=2,CONVERT(Inputs!B29,"ft","m"),Inputs!B29))</f>
        <v/>
      </c>
      <c r="B24" s="411" t="str">
        <f>IF(Inputs!G29="","",IF(units=2,CONVERT(Inputs!G29,"ft","m"),Inputs!G29))</f>
        <v/>
      </c>
      <c r="C24" s="409" t="str">
        <f>IF(A24="","",IF(OR(A24&lt;$B$3,Inputs!J29="No"),"Not_susc.","Susceptible"))</f>
        <v/>
      </c>
      <c r="D24" s="354" t="e">
        <f>IF(OR(A24="",Method_BI=FALSE),NA(),'PB Liquefaction Initiation'!F26)</f>
        <v>#N/A</v>
      </c>
      <c r="E24" s="295" t="e">
        <f>IF(OR(A24="",Method_BI=FALSE),NA(),'PB Liquefaction Initiation'!Q26)</f>
        <v>#N/A</v>
      </c>
      <c r="F24" s="355" t="e">
        <f>IF('PB Liquefaction Initiation'!P26="",NA(),'PB Liquefaction Initiation'!P26)</f>
        <v>#N/A</v>
      </c>
      <c r="G24" s="295" t="e">
        <f t="shared" si="3"/>
        <v>#N/A</v>
      </c>
      <c r="H24" s="295" t="e">
        <f t="shared" si="4"/>
        <v>#N/A</v>
      </c>
      <c r="I24" s="295" t="e">
        <f t="shared" si="5"/>
        <v>#N/A</v>
      </c>
      <c r="J24" s="295" t="e">
        <f t="shared" si="6"/>
        <v>#N/A</v>
      </c>
      <c r="K24" s="295" t="e">
        <f t="shared" si="7"/>
        <v>#N/A</v>
      </c>
      <c r="L24" s="356" t="e">
        <f t="shared" si="8"/>
        <v>#N/A</v>
      </c>
      <c r="M24" s="346" t="e">
        <f t="shared" si="9"/>
        <v>#N/A</v>
      </c>
      <c r="N24" s="309" t="e">
        <f t="shared" si="0"/>
        <v>#N/A</v>
      </c>
      <c r="O24" s="309" t="e">
        <f t="shared" si="10"/>
        <v>#N/A</v>
      </c>
      <c r="P24" s="309" t="e">
        <f t="shared" si="11"/>
        <v>#N/A</v>
      </c>
      <c r="Q24" s="347" t="e">
        <f t="shared" si="12"/>
        <v>#N/A</v>
      </c>
      <c r="R24" s="309" t="e">
        <f t="shared" si="13"/>
        <v>#N/A</v>
      </c>
      <c r="S24" s="309" t="e">
        <f t="shared" si="14"/>
        <v>#N/A</v>
      </c>
      <c r="T24" s="309" t="e">
        <f t="shared" si="15"/>
        <v>#N/A</v>
      </c>
      <c r="U24" s="348" t="e">
        <f t="shared" si="16"/>
        <v>#N/A</v>
      </c>
      <c r="V24" s="312" t="e">
        <f t="shared" si="17"/>
        <v>#N/A</v>
      </c>
      <c r="W24" s="344" t="e">
        <f t="shared" si="1"/>
        <v>#N/A</v>
      </c>
      <c r="X24" s="319" t="e">
        <f t="shared" si="2"/>
        <v>#N/A</v>
      </c>
      <c r="Y24" s="325" t="e">
        <f t="shared" si="18"/>
        <v>#N/A</v>
      </c>
      <c r="Z24" s="333" t="e">
        <f t="shared" si="19"/>
        <v>#N/A</v>
      </c>
      <c r="AA24" s="334" t="e">
        <f t="shared" si="24"/>
        <v>#N/A</v>
      </c>
      <c r="AB24" s="335" t="e">
        <f t="shared" si="20"/>
        <v>#N/A</v>
      </c>
      <c r="AC24" s="336"/>
      <c r="AD24" s="336"/>
      <c r="AE24" s="317" t="e">
        <f t="shared" si="21"/>
        <v>#N/A</v>
      </c>
      <c r="AF24" s="329"/>
      <c r="AG24" s="329" t="e">
        <f t="shared" si="22"/>
        <v>#N/A</v>
      </c>
      <c r="AH24" s="385" t="e">
        <f t="shared" si="23"/>
        <v>#N/A</v>
      </c>
      <c r="AI24" s="330">
        <f t="shared" si="25"/>
        <v>0</v>
      </c>
    </row>
    <row r="25" spans="1:35" x14ac:dyDescent="0.25">
      <c r="A25" s="410" t="str">
        <f>IF(Inputs!B30="","",IF(units=2,CONVERT(Inputs!B30,"ft","m"),Inputs!B30))</f>
        <v/>
      </c>
      <c r="B25" s="411" t="str">
        <f>IF(Inputs!G30="","",IF(units=2,CONVERT(Inputs!G30,"ft","m"),Inputs!G30))</f>
        <v/>
      </c>
      <c r="C25" s="409" t="str">
        <f>IF(A25="","",IF(OR(A25&lt;$B$3,Inputs!J30="No"),"Not_susc.","Susceptible"))</f>
        <v/>
      </c>
      <c r="D25" s="354" t="e">
        <f>IF(OR(A25="",Method_BI=FALSE),NA(),'PB Liquefaction Initiation'!F27)</f>
        <v>#N/A</v>
      </c>
      <c r="E25" s="295" t="e">
        <f>IF(OR(A25="",Method_BI=FALSE),NA(),'PB Liquefaction Initiation'!Q27)</f>
        <v>#N/A</v>
      </c>
      <c r="F25" s="355" t="e">
        <f>IF('PB Liquefaction Initiation'!P27="",NA(),'PB Liquefaction Initiation'!P27)</f>
        <v>#N/A</v>
      </c>
      <c r="G25" s="295" t="e">
        <f t="shared" si="3"/>
        <v>#N/A</v>
      </c>
      <c r="H25" s="295" t="e">
        <f t="shared" si="4"/>
        <v>#N/A</v>
      </c>
      <c r="I25" s="295" t="e">
        <f t="shared" si="5"/>
        <v>#N/A</v>
      </c>
      <c r="J25" s="295" t="e">
        <f t="shared" si="6"/>
        <v>#N/A</v>
      </c>
      <c r="K25" s="295" t="e">
        <f t="shared" si="7"/>
        <v>#N/A</v>
      </c>
      <c r="L25" s="356" t="e">
        <f t="shared" si="8"/>
        <v>#N/A</v>
      </c>
      <c r="M25" s="346" t="e">
        <f t="shared" si="9"/>
        <v>#N/A</v>
      </c>
      <c r="N25" s="309" t="e">
        <f t="shared" si="0"/>
        <v>#N/A</v>
      </c>
      <c r="O25" s="309" t="e">
        <f t="shared" si="10"/>
        <v>#N/A</v>
      </c>
      <c r="P25" s="309" t="e">
        <f t="shared" si="11"/>
        <v>#N/A</v>
      </c>
      <c r="Q25" s="347" t="e">
        <f t="shared" si="12"/>
        <v>#N/A</v>
      </c>
      <c r="R25" s="309" t="e">
        <f t="shared" si="13"/>
        <v>#N/A</v>
      </c>
      <c r="S25" s="309" t="e">
        <f t="shared" si="14"/>
        <v>#N/A</v>
      </c>
      <c r="T25" s="309" t="e">
        <f t="shared" si="15"/>
        <v>#N/A</v>
      </c>
      <c r="U25" s="348" t="e">
        <f t="shared" si="16"/>
        <v>#N/A</v>
      </c>
      <c r="V25" s="312" t="e">
        <f t="shared" si="17"/>
        <v>#N/A</v>
      </c>
      <c r="W25" s="344" t="e">
        <f t="shared" si="1"/>
        <v>#N/A</v>
      </c>
      <c r="X25" s="319" t="e">
        <f t="shared" si="2"/>
        <v>#N/A</v>
      </c>
      <c r="Y25" s="325" t="e">
        <f t="shared" si="18"/>
        <v>#N/A</v>
      </c>
      <c r="Z25" s="333" t="e">
        <f t="shared" si="19"/>
        <v>#N/A</v>
      </c>
      <c r="AA25" s="334" t="e">
        <f t="shared" si="24"/>
        <v>#N/A</v>
      </c>
      <c r="AB25" s="335" t="e">
        <f t="shared" si="20"/>
        <v>#N/A</v>
      </c>
      <c r="AC25" s="336"/>
      <c r="AD25" s="336"/>
      <c r="AE25" s="317" t="e">
        <f t="shared" si="21"/>
        <v>#N/A</v>
      </c>
      <c r="AF25" s="329"/>
      <c r="AG25" s="329" t="e">
        <f t="shared" si="22"/>
        <v>#N/A</v>
      </c>
      <c r="AH25" s="385" t="e">
        <f t="shared" si="23"/>
        <v>#N/A</v>
      </c>
      <c r="AI25" s="330">
        <f t="shared" si="25"/>
        <v>0</v>
      </c>
    </row>
    <row r="26" spans="1:35" x14ac:dyDescent="0.25">
      <c r="A26" s="410" t="str">
        <f>IF(Inputs!B31="","",IF(units=2,CONVERT(Inputs!B31,"ft","m"),Inputs!B31))</f>
        <v/>
      </c>
      <c r="B26" s="411" t="str">
        <f>IF(Inputs!G31="","",IF(units=2,CONVERT(Inputs!G31,"ft","m"),Inputs!G31))</f>
        <v/>
      </c>
      <c r="C26" s="409" t="str">
        <f>IF(A26="","",IF(OR(A26&lt;$B$3,Inputs!J31="No"),"Not_susc.","Susceptible"))</f>
        <v/>
      </c>
      <c r="D26" s="354" t="e">
        <f>IF(OR(A26="",Method_BI=FALSE),NA(),'PB Liquefaction Initiation'!F28)</f>
        <v>#N/A</v>
      </c>
      <c r="E26" s="295" t="e">
        <f>IF(OR(A26="",Method_BI=FALSE),NA(),'PB Liquefaction Initiation'!Q28)</f>
        <v>#N/A</v>
      </c>
      <c r="F26" s="355" t="e">
        <f>IF('PB Liquefaction Initiation'!P28="",NA(),'PB Liquefaction Initiation'!P28)</f>
        <v>#N/A</v>
      </c>
      <c r="G26" s="295" t="e">
        <f t="shared" si="3"/>
        <v>#N/A</v>
      </c>
      <c r="H26" s="295" t="e">
        <f t="shared" si="4"/>
        <v>#N/A</v>
      </c>
      <c r="I26" s="295" t="e">
        <f t="shared" si="5"/>
        <v>#N/A</v>
      </c>
      <c r="J26" s="295" t="e">
        <f t="shared" si="6"/>
        <v>#N/A</v>
      </c>
      <c r="K26" s="295" t="e">
        <f t="shared" si="7"/>
        <v>#N/A</v>
      </c>
      <c r="L26" s="356" t="e">
        <f t="shared" si="8"/>
        <v>#N/A</v>
      </c>
      <c r="M26" s="346" t="e">
        <f t="shared" si="9"/>
        <v>#N/A</v>
      </c>
      <c r="N26" s="309" t="e">
        <f t="shared" si="0"/>
        <v>#N/A</v>
      </c>
      <c r="O26" s="309" t="e">
        <f t="shared" si="10"/>
        <v>#N/A</v>
      </c>
      <c r="P26" s="309" t="e">
        <f t="shared" si="11"/>
        <v>#N/A</v>
      </c>
      <c r="Q26" s="347" t="e">
        <f t="shared" si="12"/>
        <v>#N/A</v>
      </c>
      <c r="R26" s="309" t="e">
        <f t="shared" si="13"/>
        <v>#N/A</v>
      </c>
      <c r="S26" s="309" t="e">
        <f t="shared" si="14"/>
        <v>#N/A</v>
      </c>
      <c r="T26" s="309" t="e">
        <f t="shared" si="15"/>
        <v>#N/A</v>
      </c>
      <c r="U26" s="348" t="e">
        <f t="shared" si="16"/>
        <v>#N/A</v>
      </c>
      <c r="V26" s="312" t="e">
        <f t="shared" si="17"/>
        <v>#N/A</v>
      </c>
      <c r="W26" s="344" t="e">
        <f t="shared" si="1"/>
        <v>#N/A</v>
      </c>
      <c r="X26" s="319" t="e">
        <f t="shared" si="2"/>
        <v>#N/A</v>
      </c>
      <c r="Y26" s="325" t="e">
        <f t="shared" si="18"/>
        <v>#N/A</v>
      </c>
      <c r="Z26" s="333" t="e">
        <f t="shared" si="19"/>
        <v>#N/A</v>
      </c>
      <c r="AA26" s="334" t="e">
        <f t="shared" si="24"/>
        <v>#N/A</v>
      </c>
      <c r="AB26" s="335" t="e">
        <f t="shared" si="20"/>
        <v>#N/A</v>
      </c>
      <c r="AC26" s="336"/>
      <c r="AD26" s="336"/>
      <c r="AE26" s="317" t="e">
        <f t="shared" si="21"/>
        <v>#N/A</v>
      </c>
      <c r="AF26" s="329"/>
      <c r="AG26" s="329" t="e">
        <f t="shared" si="22"/>
        <v>#N/A</v>
      </c>
      <c r="AH26" s="385" t="e">
        <f t="shared" si="23"/>
        <v>#N/A</v>
      </c>
      <c r="AI26" s="330">
        <f>IF(OR(C26="",C26="Not_susc."),AI27,AI27+AH26)</f>
        <v>0</v>
      </c>
    </row>
    <row r="27" spans="1:35" ht="15.75" thickBot="1" x14ac:dyDescent="0.3">
      <c r="A27" s="412" t="str">
        <f>IF(Inputs!B32="","",IF(units=2,CONVERT(Inputs!B32,"ft","m"),Inputs!B32))</f>
        <v/>
      </c>
      <c r="B27" s="413" t="str">
        <f>IF(Inputs!G32="","",IF(units=2,CONVERT(Inputs!G32,"ft","m"),Inputs!G32))</f>
        <v/>
      </c>
      <c r="C27" s="414" t="str">
        <f>IF(A27="","",IF(OR(A27&lt;$B$3,Inputs!J32="No"),"Not_susc.","Susceptible"))</f>
        <v/>
      </c>
      <c r="D27" s="357" t="e">
        <f>IF(OR(A27="",Method_BI=FALSE),NA(),'PB Liquefaction Initiation'!F29)</f>
        <v>#N/A</v>
      </c>
      <c r="E27" s="358" t="e">
        <f>IF(OR(A27="",Method_BI=FALSE),NA(),'PB Liquefaction Initiation'!Q29)</f>
        <v>#N/A</v>
      </c>
      <c r="F27" s="359" t="e">
        <f>IF('PB Liquefaction Initiation'!P29="",NA(),'PB Liquefaction Initiation'!P29)</f>
        <v>#N/A</v>
      </c>
      <c r="G27" s="358" t="e">
        <f t="shared" si="3"/>
        <v>#N/A</v>
      </c>
      <c r="H27" s="358" t="e">
        <f t="shared" si="4"/>
        <v>#N/A</v>
      </c>
      <c r="I27" s="358" t="e">
        <f t="shared" si="5"/>
        <v>#N/A</v>
      </c>
      <c r="J27" s="358" t="e">
        <f t="shared" si="6"/>
        <v>#N/A</v>
      </c>
      <c r="K27" s="358" t="e">
        <f t="shared" si="7"/>
        <v>#N/A</v>
      </c>
      <c r="L27" s="360" t="e">
        <f t="shared" si="8"/>
        <v>#N/A</v>
      </c>
      <c r="M27" s="349" t="e">
        <f t="shared" si="9"/>
        <v>#N/A</v>
      </c>
      <c r="N27" s="350" t="e">
        <f t="shared" si="0"/>
        <v>#N/A</v>
      </c>
      <c r="O27" s="350" t="e">
        <f t="shared" si="10"/>
        <v>#N/A</v>
      </c>
      <c r="P27" s="350" t="e">
        <f t="shared" si="11"/>
        <v>#N/A</v>
      </c>
      <c r="Q27" s="351" t="e">
        <f t="shared" si="12"/>
        <v>#N/A</v>
      </c>
      <c r="R27" s="350" t="e">
        <f t="shared" si="13"/>
        <v>#N/A</v>
      </c>
      <c r="S27" s="350" t="e">
        <f t="shared" si="14"/>
        <v>#N/A</v>
      </c>
      <c r="T27" s="350" t="e">
        <f t="shared" si="15"/>
        <v>#N/A</v>
      </c>
      <c r="U27" s="352" t="e">
        <f t="shared" si="16"/>
        <v>#N/A</v>
      </c>
      <c r="V27" s="313" t="e">
        <f t="shared" si="17"/>
        <v>#N/A</v>
      </c>
      <c r="W27" s="345" t="e">
        <f t="shared" si="1"/>
        <v>#N/A</v>
      </c>
      <c r="X27" s="320" t="e">
        <f t="shared" si="2"/>
        <v>#N/A</v>
      </c>
      <c r="Y27" s="326" t="e">
        <f t="shared" si="18"/>
        <v>#N/A</v>
      </c>
      <c r="Z27" s="338" t="e">
        <f t="shared" si="19"/>
        <v>#N/A</v>
      </c>
      <c r="AA27" s="339" t="e">
        <f t="shared" si="24"/>
        <v>#N/A</v>
      </c>
      <c r="AB27" s="340" t="e">
        <f t="shared" si="20"/>
        <v>#N/A</v>
      </c>
      <c r="AC27" s="341"/>
      <c r="AD27" s="341"/>
      <c r="AE27" s="318" t="e">
        <f t="shared" si="21"/>
        <v>#N/A</v>
      </c>
      <c r="AF27" s="331"/>
      <c r="AG27" s="331" t="e">
        <f t="shared" si="22"/>
        <v>#N/A</v>
      </c>
      <c r="AH27" s="386" t="e">
        <f t="shared" si="23"/>
        <v>#N/A</v>
      </c>
      <c r="AI27" s="388">
        <f>IF(OR(C27="",C27="Not_susc."),0,AH27)</f>
        <v>0</v>
      </c>
    </row>
    <row r="29" spans="1:35" ht="15.75" x14ac:dyDescent="0.25">
      <c r="A29" s="304"/>
      <c r="B29" s="304"/>
      <c r="C29" s="304"/>
      <c r="D29" s="304"/>
      <c r="E29" s="304"/>
      <c r="F29" s="304"/>
      <c r="G29" s="304"/>
      <c r="H29" s="304"/>
      <c r="I29" s="304"/>
      <c r="J29" s="304"/>
      <c r="K29" s="304"/>
      <c r="L29" s="304"/>
      <c r="M29" s="304"/>
      <c r="N29" s="304"/>
      <c r="O29" s="304"/>
      <c r="P29" s="304"/>
      <c r="Q29" s="304"/>
      <c r="R29" s="304"/>
      <c r="S29" s="304"/>
      <c r="T29" s="304"/>
      <c r="U29" s="304"/>
      <c r="V29" s="304"/>
      <c r="W29" s="304"/>
      <c r="X29" s="323"/>
      <c r="Y29" s="323"/>
      <c r="Z29" s="323"/>
      <c r="AA29" s="377"/>
      <c r="AB29" s="377"/>
      <c r="AC29" s="377"/>
      <c r="AD29" s="377"/>
      <c r="AE29" s="323"/>
      <c r="AF29" s="323"/>
      <c r="AG29" s="323"/>
      <c r="AH29" s="323"/>
      <c r="AI29" s="377"/>
    </row>
    <row r="30" spans="1:35" x14ac:dyDescent="0.25">
      <c r="A30" s="34" t="s">
        <v>268</v>
      </c>
      <c r="B30" s="34"/>
      <c r="C30" s="34"/>
    </row>
    <row r="32" spans="1:35" ht="18" x14ac:dyDescent="0.25">
      <c r="A32" s="305" t="s">
        <v>432</v>
      </c>
      <c r="B32" s="406">
        <f>IF(Inputs!C52="",NA(),Inputs!C52)</f>
        <v>2.2999999999999998</v>
      </c>
      <c r="C32" s="379"/>
    </row>
    <row r="33" spans="1:36" ht="18.75" thickBot="1" x14ac:dyDescent="0.3">
      <c r="A33" s="306" t="s">
        <v>269</v>
      </c>
      <c r="B33" s="406">
        <f>IF(Nreq_ref_Cet="",NA(),Nreq_ref_Cet)</f>
        <v>49.09</v>
      </c>
      <c r="C33" s="379"/>
      <c r="Z33" s="383"/>
      <c r="AA33" s="80"/>
      <c r="AB33" s="80"/>
      <c r="AC33" s="80"/>
      <c r="AD33" s="80"/>
    </row>
    <row r="34" spans="1:36" ht="32.25" customHeight="1" thickBot="1" x14ac:dyDescent="0.3">
      <c r="D34" s="627" t="s">
        <v>270</v>
      </c>
      <c r="E34" s="628"/>
      <c r="F34" s="628"/>
      <c r="G34" s="628"/>
      <c r="H34" s="629"/>
      <c r="M34" s="627" t="s">
        <v>271</v>
      </c>
      <c r="N34" s="628"/>
      <c r="O34" s="628"/>
      <c r="P34" s="628"/>
      <c r="Q34" s="629"/>
      <c r="V34" s="633" t="s">
        <v>274</v>
      </c>
      <c r="W34" s="634"/>
      <c r="X34" s="635" t="s">
        <v>284</v>
      </c>
      <c r="Y34" s="637"/>
      <c r="Z34" s="627" t="s">
        <v>290</v>
      </c>
      <c r="AA34" s="628"/>
      <c r="AB34" s="628"/>
      <c r="AC34" s="628"/>
      <c r="AD34" s="629"/>
      <c r="AE34" s="638" t="s">
        <v>297</v>
      </c>
      <c r="AF34" s="639"/>
      <c r="AG34" s="639"/>
      <c r="AH34" s="639"/>
      <c r="AI34" s="640"/>
    </row>
    <row r="35" spans="1:36" s="296" customFormat="1" ht="24.75" customHeight="1" x14ac:dyDescent="0.25">
      <c r="A35" s="361" t="s">
        <v>250</v>
      </c>
      <c r="B35" s="382" t="s">
        <v>12</v>
      </c>
      <c r="C35" s="380" t="s">
        <v>234</v>
      </c>
      <c r="D35" s="294" t="s">
        <v>260</v>
      </c>
      <c r="E35" s="294" t="s">
        <v>275</v>
      </c>
      <c r="F35" s="294" t="s">
        <v>276</v>
      </c>
      <c r="G35" s="294" t="s">
        <v>272</v>
      </c>
      <c r="H35" s="311" t="s">
        <v>255</v>
      </c>
      <c r="M35" s="310" t="s">
        <v>261</v>
      </c>
      <c r="N35" s="294" t="s">
        <v>277</v>
      </c>
      <c r="O35" s="294" t="s">
        <v>278</v>
      </c>
      <c r="P35" s="294" t="s">
        <v>273</v>
      </c>
      <c r="Q35" s="311" t="s">
        <v>267</v>
      </c>
      <c r="V35" s="310" t="s">
        <v>253</v>
      </c>
      <c r="W35" s="311" t="s">
        <v>254</v>
      </c>
      <c r="X35" s="310" t="s">
        <v>366</v>
      </c>
      <c r="Y35" s="311" t="s">
        <v>282</v>
      </c>
      <c r="Z35" s="327" t="s">
        <v>285</v>
      </c>
      <c r="AA35" s="307" t="s">
        <v>286</v>
      </c>
      <c r="AB35" s="307" t="s">
        <v>287</v>
      </c>
      <c r="AC35" s="294" t="s">
        <v>288</v>
      </c>
      <c r="AD35" s="328" t="s">
        <v>289</v>
      </c>
      <c r="AE35" s="327" t="s">
        <v>295</v>
      </c>
      <c r="AF35" s="307" t="s">
        <v>293</v>
      </c>
      <c r="AG35" s="307" t="s">
        <v>294</v>
      </c>
      <c r="AH35" s="307" t="s">
        <v>296</v>
      </c>
      <c r="AI35" s="328" t="s">
        <v>291</v>
      </c>
    </row>
    <row r="36" spans="1:36" x14ac:dyDescent="0.25">
      <c r="A36" s="410">
        <f>IF(Inputs!B13="","",IF(units=2,CONVERT(Inputs!B13,"ft","m"),Inputs!B13))</f>
        <v>0.4572</v>
      </c>
      <c r="B36" s="415">
        <f>IF(Inputs!G13="","",IF(units=2,CONVERT(Inputs!G13,"ft","m"),Inputs!G13))</f>
        <v>0.91439999999999999</v>
      </c>
      <c r="C36" s="409" t="str">
        <f>C8</f>
        <v>Susceptible</v>
      </c>
      <c r="D36" s="298">
        <f>IF(A36="",NA(),'PB Liquefaction Initiation'!D43)</f>
        <v>32.632000000000005</v>
      </c>
      <c r="E36" s="297">
        <f>EXP(('PB Liquefaction Initiation'!J43-(29.06*LN(7.5))+15.25)/13.79)</f>
        <v>0.91015780813833913</v>
      </c>
      <c r="F36" s="298">
        <f>SQRT(D36/60)*100</f>
        <v>73.747316335353304</v>
      </c>
      <c r="G36" s="297">
        <f>_xlfn.NORM.S.DIST(-(D36-'PB Liquefaction Initiation'!J43)/4.21,TRUE)</f>
        <v>0.98700458844407801</v>
      </c>
      <c r="H36" s="363">
        <f>MAX(0,((1.879*LN((780.416*LN(E36/(0.361*LN(F36)-0.579))-D36+2442.465)/(636.613*D36+306.732))+5.583)/100)*G36)</f>
        <v>1.4473546260298261E-2</v>
      </c>
      <c r="M36" s="367">
        <f t="shared" ref="M36:M55" si="26">IF(A36="",NA(),17.79)</f>
        <v>17.79</v>
      </c>
      <c r="N36" s="300">
        <f t="shared" ref="N36:N55" si="27">IF(A36="",NA(),EXP(($B$33-(29.06*LN(7.5))+15.25)/13.79))</f>
        <v>1.5214228636759974</v>
      </c>
      <c r="O36" s="301">
        <f>SQRT(M36/60)*100</f>
        <v>54.451813560247928</v>
      </c>
      <c r="P36" s="301">
        <f t="shared" ref="P36:P55" si="28">_xlfn.NORM.S.DIST(-(M36-$B$33)/4.21,TRUE)</f>
        <v>0.9999999999999476</v>
      </c>
      <c r="Q36" s="368">
        <f>MAX(0,((1.879*LN((780.416*LN(N36/(0.361*LN(O36)-0.579))-M36+2442.465)/(636.613*M36+306.732))+5.583)/100)*P36)</f>
        <v>2.9509540888956992E-2</v>
      </c>
      <c r="V36" s="314">
        <f t="shared" ref="V36:V55" si="29">LN(H36+0.01)/LN(Q36+0.01)</f>
        <v>1.1482258769260709</v>
      </c>
      <c r="W36" s="375">
        <f t="shared" ref="W36:W55" si="30">MAX(0,EXP(V36*LN($B$32/100+0.01))-0.01)</f>
        <v>9.9030378752177611E-3</v>
      </c>
      <c r="X36" s="319">
        <f>6.6896*W36^2+0.883*W36</f>
        <v>9.4004325805206231E-3</v>
      </c>
      <c r="Y36" s="321">
        <f>X36*100</f>
        <v>0.94004325805206235</v>
      </c>
      <c r="Z36" s="333">
        <f>IF(A36="",NA(),MAX(0,1-(A36/18)))</f>
        <v>0.97460000000000002</v>
      </c>
      <c r="AA36" s="334">
        <f>X36*B36*Z36</f>
        <v>8.3774233606167051E-3</v>
      </c>
      <c r="AB36" s="335">
        <f>IF(OR(A36="",C36="Not_susc."),NA(),B36*Z36)</f>
        <v>0.89117424000000001</v>
      </c>
      <c r="AC36" s="334">
        <f>SUMIFS(AA36:AA55,C36:C55,"=Susceptible",A36:A55,"&lt;18")/SUMIFS(AB36:AB55,C36:C55,"=Susceptible",A36:A55,"&lt;18")</f>
        <v>2.6112559416338159E-2</v>
      </c>
      <c r="AD36" s="343">
        <f>1.15*AC36*SUMIFS(B36:B55,C36:C55,"=Susceptible",A36:A55,"&lt;18")</f>
        <v>0.43018979335089802</v>
      </c>
      <c r="AE36" s="317">
        <f>X36*Z36*SUMIFS($B$36:$B$55,$C$36:$C$55,"=Susceptible",$A$36:$A$55,"&lt;18")</f>
        <v>0.13124629931632839</v>
      </c>
      <c r="AF36" s="385">
        <f>SUMIF(C36:C55,"=Susceptible",AB36:AB55)</f>
        <v>7.3681945600000001</v>
      </c>
      <c r="AG36" s="329">
        <f>AE36/$AF$36</f>
        <v>1.781254529146532E-2</v>
      </c>
      <c r="AH36" s="385">
        <f>1.15*AG36*B36*100</f>
        <v>1.8730960126693268</v>
      </c>
      <c r="AI36" s="391">
        <f>SUMIF(C36:C55,"=Susceptible",AH36:AH55)</f>
        <v>43.018979335089803</v>
      </c>
      <c r="AJ36" s="324"/>
    </row>
    <row r="37" spans="1:36" x14ac:dyDescent="0.25">
      <c r="A37" s="410">
        <f>IF(Inputs!B14="","",IF(units=2,CONVERT(Inputs!B14,"ft","m"),Inputs!B14))</f>
        <v>1.6763999999999999</v>
      </c>
      <c r="B37" s="415">
        <f>IF(Inputs!G14="","",IF(units=2,CONVERT(Inputs!G14,"ft","m"),Inputs!G14))</f>
        <v>1.524</v>
      </c>
      <c r="C37" s="409" t="str">
        <f t="shared" ref="C37:C55" si="31">C9</f>
        <v>Susceptible</v>
      </c>
      <c r="D37" s="299">
        <f>IF(A37="",NA(),'PB Liquefaction Initiation'!D44)</f>
        <v>10.621491593382261</v>
      </c>
      <c r="E37" s="295">
        <f>EXP(('PB Liquefaction Initiation'!J44-(29.06*LN(7.5))+15.25)/13.79)</f>
        <v>1.2916476304166726</v>
      </c>
      <c r="F37" s="299">
        <f t="shared" ref="F37:F55" si="32">SQRT(D37/60)*100</f>
        <v>42.074322322493131</v>
      </c>
      <c r="G37" s="295">
        <f>_xlfn.NORM.S.DIST(-(D37-'PB Liquefaction Initiation'!J44)/4.21,TRUE)</f>
        <v>1</v>
      </c>
      <c r="H37" s="364">
        <f t="shared" ref="H37:H55" si="33">MAX(0,((1.879*LN((780.416*LN(E37/(0.361*LN(F37)-0.579))-D37+2442.465)/(636.613*D37+306.732))+5.583)/100)*G37)</f>
        <v>3.8660592460875234E-2</v>
      </c>
      <c r="M37" s="369">
        <f t="shared" si="26"/>
        <v>17.79</v>
      </c>
      <c r="N37" s="302">
        <f t="shared" si="27"/>
        <v>1.5214228636759974</v>
      </c>
      <c r="O37" s="303">
        <f>SQRT(M37/60)*100</f>
        <v>54.451813560247928</v>
      </c>
      <c r="P37" s="303">
        <f t="shared" si="28"/>
        <v>0.9999999999999476</v>
      </c>
      <c r="Q37" s="370">
        <f>MAX(0,((1.879*LN((780.416*LN(N37/(0.361*LN(O37)-0.579))-M37+2442.465)/(636.613*M37+306.732))+5.583)/100)*P37)</f>
        <v>2.9509540888956992E-2</v>
      </c>
      <c r="V37" s="315">
        <f t="shared" si="29"/>
        <v>0.93552658940752564</v>
      </c>
      <c r="W37" s="332">
        <f t="shared" si="30"/>
        <v>3.1117850098797015E-2</v>
      </c>
      <c r="X37" s="319">
        <f t="shared" ref="X37:X55" si="34">6.6896*W37^2+0.883*W37</f>
        <v>3.3954739088019194E-2</v>
      </c>
      <c r="Y37" s="321">
        <f t="shared" ref="Y37:Y55" si="35">X37*100</f>
        <v>3.3954739088019195</v>
      </c>
      <c r="Z37" s="333">
        <f t="shared" ref="Z37:Z55" si="36">IF(A37="",NA(),MAX(0,1-(A37/18)))</f>
        <v>0.90686666666666671</v>
      </c>
      <c r="AA37" s="334">
        <f>X37*B37*Z37</f>
        <v>4.6927649686735434E-2</v>
      </c>
      <c r="AB37" s="335">
        <f t="shared" ref="AB37:AB55" si="37">IF(OR(A37="",C37="Not_susc."),NA(),B37*Z37)</f>
        <v>1.3820648</v>
      </c>
      <c r="AC37" s="336"/>
      <c r="AD37" s="337"/>
      <c r="AE37" s="317">
        <f t="shared" ref="AE37:AE55" si="38">X37*Z37*SUMIFS($B$36:$B$55,$C$36:$C$55,"=Susceptible",$A$36:$A$55,"&lt;18")</f>
        <v>0.44111990705531312</v>
      </c>
      <c r="AF37" s="329"/>
      <c r="AG37" s="329">
        <f t="shared" ref="AG37:AG55" si="39">AE37/$AF$36</f>
        <v>5.9868113343537054E-2</v>
      </c>
      <c r="AH37" s="385">
        <f t="shared" ref="AH37:AH55" si="40">1.15*AG37*B37*100</f>
        <v>10.492485544588304</v>
      </c>
      <c r="AI37" s="392">
        <f t="shared" ref="AI37:AI54" si="41">IF(OR(C37="",C37="Not_susc."),AI38,AI38+AH37)</f>
        <v>41.145883322420474</v>
      </c>
    </row>
    <row r="38" spans="1:36" x14ac:dyDescent="0.25">
      <c r="A38" s="410">
        <f>IF(Inputs!B15="","",IF(units=2,CONVERT(Inputs!B15,"ft","m"),Inputs!B15))</f>
        <v>3.2004000000000001</v>
      </c>
      <c r="B38" s="415">
        <f>IF(Inputs!G15="","",IF(units=2,CONVERT(Inputs!G15,"ft","m"),Inputs!G15))</f>
        <v>1.524</v>
      </c>
      <c r="C38" s="409" t="str">
        <f t="shared" si="31"/>
        <v>Susceptible</v>
      </c>
      <c r="D38" s="299">
        <f>IF(A38="",NA(),'PB Liquefaction Initiation'!D45)</f>
        <v>13.32533678800505</v>
      </c>
      <c r="E38" s="295">
        <f>EXP(('PB Liquefaction Initiation'!J45-(29.06*LN(7.5))+15.25)/13.79)</f>
        <v>1.5162249266750998</v>
      </c>
      <c r="F38" s="299">
        <f t="shared" si="32"/>
        <v>47.126313930409495</v>
      </c>
      <c r="G38" s="295">
        <f>_xlfn.NORM.S.DIST(-(D38-'PB Liquefaction Initiation'!J45)/4.21,TRUE)</f>
        <v>1</v>
      </c>
      <c r="H38" s="364">
        <f t="shared" si="33"/>
        <v>3.5101440956544855E-2</v>
      </c>
      <c r="M38" s="369">
        <f t="shared" si="26"/>
        <v>17.79</v>
      </c>
      <c r="N38" s="302">
        <f t="shared" si="27"/>
        <v>1.5214228636759974</v>
      </c>
      <c r="O38" s="303">
        <f t="shared" ref="O38:O55" si="42">SQRT(M38/60)*100</f>
        <v>54.451813560247928</v>
      </c>
      <c r="P38" s="303">
        <f t="shared" si="28"/>
        <v>0.9999999999999476</v>
      </c>
      <c r="Q38" s="370">
        <f t="shared" ref="Q38:Q55" si="43">MAX(0,((1.879*LN((780.416*LN(N38/(0.361*LN(O38)-0.579))-M38+2442.465)/(636.613*M38+306.732))+5.583)/100)*P38)</f>
        <v>2.9509540888956992E-2</v>
      </c>
      <c r="V38" s="315">
        <f t="shared" si="29"/>
        <v>0.95903333882988773</v>
      </c>
      <c r="W38" s="332">
        <f t="shared" si="30"/>
        <v>2.7949449236998554E-2</v>
      </c>
      <c r="X38" s="319">
        <f t="shared" si="34"/>
        <v>2.9905089965223591E-2</v>
      </c>
      <c r="Y38" s="321">
        <f t="shared" si="35"/>
        <v>2.990508996522359</v>
      </c>
      <c r="Z38" s="333">
        <f t="shared" si="36"/>
        <v>0.82220000000000004</v>
      </c>
      <c r="AA38" s="334">
        <f t="shared" ref="AA38:AA55" si="44">X38*B38*Z38</f>
        <v>3.7472058613376019E-2</v>
      </c>
      <c r="AB38" s="335">
        <f t="shared" si="37"/>
        <v>1.2530328000000002</v>
      </c>
      <c r="AC38" s="336"/>
      <c r="AD38" s="337"/>
      <c r="AE38" s="317">
        <f t="shared" si="38"/>
        <v>0.35223735096573461</v>
      </c>
      <c r="AF38" s="329"/>
      <c r="AG38" s="329">
        <f t="shared" si="39"/>
        <v>4.7805109935334635E-2</v>
      </c>
      <c r="AH38" s="385">
        <f t="shared" si="40"/>
        <v>8.3783235672667473</v>
      </c>
      <c r="AI38" s="392">
        <f t="shared" si="41"/>
        <v>30.653397777832168</v>
      </c>
    </row>
    <row r="39" spans="1:36" x14ac:dyDescent="0.25">
      <c r="A39" s="410">
        <f>IF(Inputs!B16="","",IF(units=2,CONVERT(Inputs!B16,"ft","m"),Inputs!B16))</f>
        <v>4.5720000000000001</v>
      </c>
      <c r="B39" s="415">
        <f>IF(Inputs!G16="","",IF(units=2,CONVERT(Inputs!G16,"ft","m"),Inputs!G16))</f>
        <v>1.2192000000000001</v>
      </c>
      <c r="C39" s="409" t="str">
        <f t="shared" si="31"/>
        <v>Not_susc.</v>
      </c>
      <c r="D39" s="299">
        <f>IF(A39="",NA(),'PB Liquefaction Initiation'!D46)</f>
        <v>4.0320252341104634</v>
      </c>
      <c r="E39" s="295" t="e">
        <f>EXP(('PB Liquefaction Initiation'!J46-(29.06*LN(7.5))+15.25)/13.79)</f>
        <v>#N/A</v>
      </c>
      <c r="F39" s="299">
        <f t="shared" si="32"/>
        <v>25.92304391241656</v>
      </c>
      <c r="G39" s="295" t="e">
        <f>_xlfn.NORM.S.DIST(-(D39-'PB Liquefaction Initiation'!J46)/4.21,TRUE)</f>
        <v>#N/A</v>
      </c>
      <c r="H39" s="364" t="e">
        <f t="shared" si="33"/>
        <v>#N/A</v>
      </c>
      <c r="M39" s="369">
        <f t="shared" si="26"/>
        <v>17.79</v>
      </c>
      <c r="N39" s="302">
        <f t="shared" si="27"/>
        <v>1.5214228636759974</v>
      </c>
      <c r="O39" s="303">
        <f t="shared" si="42"/>
        <v>54.451813560247928</v>
      </c>
      <c r="P39" s="303">
        <f t="shared" si="28"/>
        <v>0.9999999999999476</v>
      </c>
      <c r="Q39" s="370">
        <f t="shared" si="43"/>
        <v>2.9509540888956992E-2</v>
      </c>
      <c r="V39" s="315" t="e">
        <f t="shared" si="29"/>
        <v>#N/A</v>
      </c>
      <c r="W39" s="332" t="e">
        <f t="shared" si="30"/>
        <v>#N/A</v>
      </c>
      <c r="X39" s="319" t="e">
        <f t="shared" si="34"/>
        <v>#N/A</v>
      </c>
      <c r="Y39" s="321" t="e">
        <f t="shared" si="35"/>
        <v>#N/A</v>
      </c>
      <c r="Z39" s="333">
        <f t="shared" si="36"/>
        <v>0.746</v>
      </c>
      <c r="AA39" s="334" t="e">
        <f t="shared" si="44"/>
        <v>#N/A</v>
      </c>
      <c r="AB39" s="335" t="e">
        <f t="shared" si="37"/>
        <v>#N/A</v>
      </c>
      <c r="AC39" s="336"/>
      <c r="AD39" s="337"/>
      <c r="AE39" s="317" t="e">
        <f t="shared" si="38"/>
        <v>#N/A</v>
      </c>
      <c r="AF39" s="329"/>
      <c r="AG39" s="329" t="e">
        <f t="shared" si="39"/>
        <v>#N/A</v>
      </c>
      <c r="AH39" s="385" t="e">
        <f t="shared" si="40"/>
        <v>#N/A</v>
      </c>
      <c r="AI39" s="392">
        <f t="shared" si="41"/>
        <v>22.275074210565421</v>
      </c>
    </row>
    <row r="40" spans="1:36" x14ac:dyDescent="0.25">
      <c r="A40" s="410">
        <f>IF(Inputs!B17="","",IF(units=2,CONVERT(Inputs!B17,"ft","m"),Inputs!B17))</f>
        <v>6.2484000000000002</v>
      </c>
      <c r="B40" s="415">
        <f>IF(Inputs!G17="","",IF(units=2,CONVERT(Inputs!G17,"ft","m"),Inputs!G17))</f>
        <v>2.1335999999999999</v>
      </c>
      <c r="C40" s="409" t="str">
        <f t="shared" si="31"/>
        <v>Susceptible</v>
      </c>
      <c r="D40" s="299">
        <f>IF(A40="",NA(),'PB Liquefaction Initiation'!D47)</f>
        <v>22.247219944730496</v>
      </c>
      <c r="E40" s="295">
        <f>EXP(('PB Liquefaction Initiation'!J47-(29.06*LN(7.5))+15.25)/13.79)</f>
        <v>1.6982787548457046</v>
      </c>
      <c r="F40" s="299">
        <f t="shared" si="32"/>
        <v>60.892281865507528</v>
      </c>
      <c r="G40" s="295">
        <f>_xlfn.NORM.S.DIST(-(D40-'PB Liquefaction Initiation'!J47)/4.21,TRUE)</f>
        <v>0.99999999999186895</v>
      </c>
      <c r="H40" s="364">
        <f t="shared" si="33"/>
        <v>2.5705478872901481E-2</v>
      </c>
      <c r="M40" s="369">
        <f t="shared" si="26"/>
        <v>17.79</v>
      </c>
      <c r="N40" s="302">
        <f t="shared" si="27"/>
        <v>1.5214228636759974</v>
      </c>
      <c r="O40" s="303">
        <f t="shared" si="42"/>
        <v>54.451813560247928</v>
      </c>
      <c r="P40" s="303">
        <f t="shared" si="28"/>
        <v>0.9999999999999476</v>
      </c>
      <c r="Q40" s="370">
        <f t="shared" si="43"/>
        <v>2.9509540888956992E-2</v>
      </c>
      <c r="V40" s="315">
        <f t="shared" si="29"/>
        <v>1.0313312785090696</v>
      </c>
      <c r="W40" s="332">
        <f t="shared" si="30"/>
        <v>1.9654942584265138E-2</v>
      </c>
      <c r="X40" s="319">
        <f t="shared" si="34"/>
        <v>1.9939618953057101E-2</v>
      </c>
      <c r="Y40" s="321">
        <f t="shared" si="35"/>
        <v>1.9939618953057101</v>
      </c>
      <c r="Z40" s="333">
        <f t="shared" si="36"/>
        <v>0.65286666666666671</v>
      </c>
      <c r="AA40" s="334">
        <f t="shared" si="44"/>
        <v>2.7775018239052676E-2</v>
      </c>
      <c r="AB40" s="335">
        <f t="shared" si="37"/>
        <v>1.3929563200000001</v>
      </c>
      <c r="AC40" s="336"/>
      <c r="AD40" s="337"/>
      <c r="AE40" s="317">
        <f t="shared" si="38"/>
        <v>0.18648940817649654</v>
      </c>
      <c r="AF40" s="329"/>
      <c r="AG40" s="329">
        <f t="shared" si="39"/>
        <v>2.5310054811649347E-2</v>
      </c>
      <c r="AH40" s="385">
        <f t="shared" si="40"/>
        <v>6.2101762888055294</v>
      </c>
      <c r="AI40" s="392">
        <f t="shared" si="41"/>
        <v>22.275074210565421</v>
      </c>
    </row>
    <row r="41" spans="1:36" x14ac:dyDescent="0.25">
      <c r="A41" s="410">
        <f>IF(Inputs!B18="","",IF(units=2,CONVERT(Inputs!B18,"ft","m"),Inputs!B18))</f>
        <v>7.7724000000000002</v>
      </c>
      <c r="B41" s="415">
        <f>IF(Inputs!G18="","",IF(units=2,CONVERT(Inputs!G18,"ft","m"),Inputs!G18))</f>
        <v>0.91439999999999999</v>
      </c>
      <c r="C41" s="409" t="str">
        <f t="shared" si="31"/>
        <v>Susceptible</v>
      </c>
      <c r="D41" s="299">
        <f>IF(A41="",NA(),'PB Liquefaction Initiation'!D48)</f>
        <v>30.426482551232123</v>
      </c>
      <c r="E41" s="295">
        <f>EXP(('PB Liquefaction Initiation'!J48-(29.06*LN(7.5))+15.25)/13.79)</f>
        <v>1.7010963640116012</v>
      </c>
      <c r="F41" s="299">
        <f t="shared" si="32"/>
        <v>71.211518908146829</v>
      </c>
      <c r="G41" s="295">
        <f>_xlfn.NORM.S.DIST(-(D41-'PB Liquefaction Initiation'!J48)/4.21,TRUE)</f>
        <v>0.99999920181503199</v>
      </c>
      <c r="H41" s="364">
        <f t="shared" si="33"/>
        <v>1.957680311570259E-2</v>
      </c>
      <c r="M41" s="369">
        <f t="shared" si="26"/>
        <v>17.79</v>
      </c>
      <c r="N41" s="302">
        <f t="shared" si="27"/>
        <v>1.5214228636759974</v>
      </c>
      <c r="O41" s="303">
        <f t="shared" si="42"/>
        <v>54.451813560247928</v>
      </c>
      <c r="P41" s="303">
        <f t="shared" si="28"/>
        <v>0.9999999999999476</v>
      </c>
      <c r="Q41" s="370">
        <f t="shared" si="43"/>
        <v>2.9509540888956992E-2</v>
      </c>
      <c r="V41" s="315">
        <f t="shared" si="29"/>
        <v>1.0896108675512144</v>
      </c>
      <c r="W41" s="332">
        <f t="shared" si="30"/>
        <v>1.4308417610036631E-2</v>
      </c>
      <c r="X41" s="319">
        <f t="shared" si="34"/>
        <v>1.4003900006362995E-2</v>
      </c>
      <c r="Y41" s="321">
        <f t="shared" si="35"/>
        <v>1.4003900006362995</v>
      </c>
      <c r="Z41" s="333">
        <f t="shared" si="36"/>
        <v>0.56820000000000004</v>
      </c>
      <c r="AA41" s="334">
        <f t="shared" si="44"/>
        <v>7.275895415417971E-3</v>
      </c>
      <c r="AB41" s="335">
        <f t="shared" si="37"/>
        <v>0.51956208000000004</v>
      </c>
      <c r="AC41" s="336"/>
      <c r="AD41" s="337"/>
      <c r="AE41" s="317">
        <f t="shared" si="38"/>
        <v>0.11398902817488156</v>
      </c>
      <c r="AF41" s="329"/>
      <c r="AG41" s="329">
        <f t="shared" si="39"/>
        <v>1.5470415072058244E-2</v>
      </c>
      <c r="AH41" s="385">
        <f t="shared" si="40"/>
        <v>1.6268069673173564</v>
      </c>
      <c r="AI41" s="392">
        <f t="shared" si="41"/>
        <v>16.06489792175989</v>
      </c>
    </row>
    <row r="42" spans="1:36" x14ac:dyDescent="0.25">
      <c r="A42" s="410">
        <f>IF(Inputs!B19="","",IF(units=2,CONVERT(Inputs!B19,"ft","m"),Inputs!B19))</f>
        <v>9.2964000000000002</v>
      </c>
      <c r="B42" s="415">
        <f>IF(Inputs!G19="","",IF(units=2,CONVERT(Inputs!G19,"ft","m"),Inputs!G19))</f>
        <v>2.1335999999999999</v>
      </c>
      <c r="C42" s="409" t="str">
        <f t="shared" si="31"/>
        <v>Susceptible</v>
      </c>
      <c r="D42" s="299">
        <f>IF(A42="",NA(),'PB Liquefaction Initiation'!D49)</f>
        <v>20.884133717749325</v>
      </c>
      <c r="E42" s="295">
        <f>EXP(('PB Liquefaction Initiation'!J49-(29.06*LN(7.5))+15.25)/13.79)</f>
        <v>1.6610634379294424</v>
      </c>
      <c r="F42" s="299">
        <f t="shared" si="32"/>
        <v>58.997363949232685</v>
      </c>
      <c r="G42" s="295">
        <f>_xlfn.NORM.S.DIST(-(D42-'PB Liquefaction Initiation'!J49)/4.21,TRUE)</f>
        <v>0.99999999999859945</v>
      </c>
      <c r="H42" s="364">
        <f t="shared" si="33"/>
        <v>2.6828668506534124E-2</v>
      </c>
      <c r="M42" s="369">
        <f t="shared" si="26"/>
        <v>17.79</v>
      </c>
      <c r="N42" s="302">
        <f t="shared" si="27"/>
        <v>1.5214228636759974</v>
      </c>
      <c r="O42" s="303">
        <f t="shared" si="42"/>
        <v>54.451813560247928</v>
      </c>
      <c r="P42" s="303">
        <f t="shared" si="28"/>
        <v>0.9999999999999476</v>
      </c>
      <c r="Q42" s="370">
        <f t="shared" si="43"/>
        <v>2.9509540888956992E-2</v>
      </c>
      <c r="V42" s="315">
        <f t="shared" si="29"/>
        <v>1.0217458907181083</v>
      </c>
      <c r="W42" s="332">
        <f t="shared" si="30"/>
        <v>2.064063108376761E-2</v>
      </c>
      <c r="X42" s="319">
        <f t="shared" si="34"/>
        <v>2.1075685341483321E-2</v>
      </c>
      <c r="Y42" s="321">
        <f t="shared" si="35"/>
        <v>2.1075685341483319</v>
      </c>
      <c r="Z42" s="333">
        <f t="shared" si="36"/>
        <v>0.48353333333333337</v>
      </c>
      <c r="AA42" s="334">
        <f t="shared" si="44"/>
        <v>2.174308316800018E-2</v>
      </c>
      <c r="AB42" s="335">
        <f t="shared" si="37"/>
        <v>1.03166672</v>
      </c>
      <c r="AC42" s="336"/>
      <c r="AD42" s="337"/>
      <c r="AE42" s="317">
        <f t="shared" si="38"/>
        <v>0.1459892726994298</v>
      </c>
      <c r="AF42" s="329"/>
      <c r="AG42" s="329">
        <f t="shared" si="39"/>
        <v>1.9813438897497E-2</v>
      </c>
      <c r="AH42" s="385">
        <f t="shared" si="40"/>
        <v>4.8615046216454534</v>
      </c>
      <c r="AI42" s="392">
        <f t="shared" si="41"/>
        <v>14.438090954442533</v>
      </c>
    </row>
    <row r="43" spans="1:36" x14ac:dyDescent="0.25">
      <c r="A43" s="410">
        <f>IF(Inputs!B20="","",IF(units=2,CONVERT(Inputs!B20,"ft","m"),Inputs!B20))</f>
        <v>10.820399999999999</v>
      </c>
      <c r="B43" s="415">
        <f>IF(Inputs!G20="","",IF(units=2,CONVERT(Inputs!G20,"ft","m"),Inputs!G20))</f>
        <v>0.91439999999999999</v>
      </c>
      <c r="C43" s="409" t="str">
        <f t="shared" si="31"/>
        <v>Susceptible</v>
      </c>
      <c r="D43" s="299">
        <f>IF(A43="",NA(),'PB Liquefaction Initiation'!D50)</f>
        <v>9.1514758932516074</v>
      </c>
      <c r="E43" s="295">
        <f>EXP(('PB Liquefaction Initiation'!J50-(29.06*LN(7.5))+15.25)/13.79)</f>
        <v>1.5966016704099157</v>
      </c>
      <c r="F43" s="299">
        <f t="shared" si="32"/>
        <v>39.054397731991735</v>
      </c>
      <c r="G43" s="295">
        <f>_xlfn.NORM.S.DIST(-(D43-'PB Liquefaction Initiation'!J50)/4.21,TRUE)</f>
        <v>1</v>
      </c>
      <c r="H43" s="364">
        <f t="shared" si="33"/>
        <v>4.2576670172793998E-2</v>
      </c>
      <c r="M43" s="369">
        <f t="shared" si="26"/>
        <v>17.79</v>
      </c>
      <c r="N43" s="302">
        <f t="shared" si="27"/>
        <v>1.5214228636759974</v>
      </c>
      <c r="O43" s="303">
        <f t="shared" si="42"/>
        <v>54.451813560247928</v>
      </c>
      <c r="P43" s="303">
        <f t="shared" si="28"/>
        <v>0.9999999999999476</v>
      </c>
      <c r="Q43" s="370">
        <f t="shared" si="43"/>
        <v>2.9509540888956992E-2</v>
      </c>
      <c r="V43" s="315">
        <f t="shared" si="29"/>
        <v>0.91157181655756458</v>
      </c>
      <c r="W43" s="332">
        <f t="shared" si="30"/>
        <v>3.4618920717460533E-2</v>
      </c>
      <c r="X43" s="319">
        <f t="shared" si="34"/>
        <v>3.8585789708932755E-2</v>
      </c>
      <c r="Y43" s="321">
        <f t="shared" si="35"/>
        <v>3.8585789708932756</v>
      </c>
      <c r="Z43" s="333">
        <f t="shared" si="36"/>
        <v>0.3988666666666667</v>
      </c>
      <c r="AA43" s="334">
        <f t="shared" si="44"/>
        <v>1.4073151218348083E-2</v>
      </c>
      <c r="AB43" s="335">
        <f t="shared" si="37"/>
        <v>0.36472368000000005</v>
      </c>
      <c r="AC43" s="336"/>
      <c r="AD43" s="337"/>
      <c r="AE43" s="317">
        <f t="shared" si="38"/>
        <v>0.22047936908745336</v>
      </c>
      <c r="AF43" s="329"/>
      <c r="AG43" s="329">
        <f t="shared" si="39"/>
        <v>2.9923119875848305E-2</v>
      </c>
      <c r="AH43" s="385">
        <f t="shared" si="40"/>
        <v>3.1465955936647041</v>
      </c>
      <c r="AI43" s="392">
        <f t="shared" si="41"/>
        <v>9.5765863327970795</v>
      </c>
    </row>
    <row r="44" spans="1:36" x14ac:dyDescent="0.25">
      <c r="A44" s="410">
        <f>IF(Inputs!B21="","",IF(units=2,CONVERT(Inputs!B21,"ft","m"),Inputs!B21))</f>
        <v>12.4968</v>
      </c>
      <c r="B44" s="415">
        <f>IF(Inputs!G21="","",IF(units=2,CONVERT(Inputs!G21,"ft","m"),Inputs!G21))</f>
        <v>2.4384000000000001</v>
      </c>
      <c r="C44" s="409" t="str">
        <f t="shared" si="31"/>
        <v>Not_susc.</v>
      </c>
      <c r="D44" s="299">
        <f>IF(A44="",NA(),'PB Liquefaction Initiation'!D51)</f>
        <v>4.144728715335928</v>
      </c>
      <c r="E44" s="295" t="e">
        <f>EXP(('PB Liquefaction Initiation'!J51-(29.06*LN(7.5))+15.25)/13.79)</f>
        <v>#N/A</v>
      </c>
      <c r="F44" s="299">
        <f t="shared" si="32"/>
        <v>26.282848384881248</v>
      </c>
      <c r="G44" s="295" t="e">
        <f>_xlfn.NORM.S.DIST(-(D44-'PB Liquefaction Initiation'!J51)/4.21,TRUE)</f>
        <v>#N/A</v>
      </c>
      <c r="H44" s="364" t="e">
        <f t="shared" si="33"/>
        <v>#N/A</v>
      </c>
      <c r="M44" s="369">
        <f t="shared" si="26"/>
        <v>17.79</v>
      </c>
      <c r="N44" s="302">
        <f t="shared" si="27"/>
        <v>1.5214228636759974</v>
      </c>
      <c r="O44" s="303">
        <f t="shared" si="42"/>
        <v>54.451813560247928</v>
      </c>
      <c r="P44" s="303">
        <f t="shared" si="28"/>
        <v>0.9999999999999476</v>
      </c>
      <c r="Q44" s="370">
        <f t="shared" si="43"/>
        <v>2.9509540888956992E-2</v>
      </c>
      <c r="V44" s="315" t="e">
        <f t="shared" si="29"/>
        <v>#N/A</v>
      </c>
      <c r="W44" s="332" t="e">
        <f t="shared" si="30"/>
        <v>#N/A</v>
      </c>
      <c r="X44" s="319" t="e">
        <f t="shared" si="34"/>
        <v>#N/A</v>
      </c>
      <c r="Y44" s="321" t="e">
        <f t="shared" si="35"/>
        <v>#N/A</v>
      </c>
      <c r="Z44" s="333">
        <f t="shared" si="36"/>
        <v>0.3057333333333333</v>
      </c>
      <c r="AA44" s="334" t="e">
        <f t="shared" si="44"/>
        <v>#N/A</v>
      </c>
      <c r="AB44" s="335" t="e">
        <f t="shared" si="37"/>
        <v>#N/A</v>
      </c>
      <c r="AC44" s="336"/>
      <c r="AD44" s="337"/>
      <c r="AE44" s="317" t="e">
        <f t="shared" si="38"/>
        <v>#N/A</v>
      </c>
      <c r="AF44" s="329"/>
      <c r="AG44" s="329" t="e">
        <f t="shared" si="39"/>
        <v>#N/A</v>
      </c>
      <c r="AH44" s="385" t="e">
        <f t="shared" si="40"/>
        <v>#N/A</v>
      </c>
      <c r="AI44" s="392">
        <f t="shared" si="41"/>
        <v>6.429990739132375</v>
      </c>
    </row>
    <row r="45" spans="1:36" x14ac:dyDescent="0.25">
      <c r="A45" s="410">
        <f>IF(Inputs!B22="","",IF(units=2,CONVERT(Inputs!B22,"ft","m"),Inputs!B22))</f>
        <v>13.715999999999999</v>
      </c>
      <c r="B45" s="415">
        <f>IF(Inputs!G22="","",IF(units=2,CONVERT(Inputs!G22,"ft","m"),Inputs!G22))</f>
        <v>0.91439999999999999</v>
      </c>
      <c r="C45" s="409" t="str">
        <f t="shared" si="31"/>
        <v>Susceptible</v>
      </c>
      <c r="D45" s="299">
        <f>IF(A45="",NA(),'PB Liquefaction Initiation'!D52)</f>
        <v>2.0632593460236448</v>
      </c>
      <c r="E45" s="295">
        <f>EXP(('PB Liquefaction Initiation'!J52-(29.06*LN(7.5))+15.25)/13.79)</f>
        <v>1.4782441445282972</v>
      </c>
      <c r="F45" s="299">
        <f t="shared" si="32"/>
        <v>18.543908910221909</v>
      </c>
      <c r="G45" s="295">
        <f>_xlfn.NORM.S.DIST(-(D45-'PB Liquefaction Initiation'!J52)/4.21,TRUE)</f>
        <v>1</v>
      </c>
      <c r="H45" s="364">
        <f t="shared" si="33"/>
        <v>6.9344511674821543E-2</v>
      </c>
      <c r="M45" s="369">
        <f t="shared" si="26"/>
        <v>17.79</v>
      </c>
      <c r="N45" s="302">
        <f t="shared" si="27"/>
        <v>1.5214228636759974</v>
      </c>
      <c r="O45" s="303">
        <f t="shared" si="42"/>
        <v>54.451813560247928</v>
      </c>
      <c r="P45" s="303">
        <f t="shared" si="28"/>
        <v>0.9999999999999476</v>
      </c>
      <c r="Q45" s="370">
        <f t="shared" si="43"/>
        <v>2.9509540888956992E-2</v>
      </c>
      <c r="V45" s="315">
        <f t="shared" si="29"/>
        <v>0.78421197430728073</v>
      </c>
      <c r="W45" s="332">
        <f t="shared" si="30"/>
        <v>5.8897092037539227E-2</v>
      </c>
      <c r="X45" s="319">
        <f t="shared" si="34"/>
        <v>7.5211467965867224E-2</v>
      </c>
      <c r="Y45" s="321">
        <f t="shared" si="35"/>
        <v>7.5211467965867227</v>
      </c>
      <c r="Z45" s="333">
        <f t="shared" si="36"/>
        <v>0.23799999999999999</v>
      </c>
      <c r="AA45" s="334">
        <f t="shared" si="44"/>
        <v>1.6368061181301376E-2</v>
      </c>
      <c r="AB45" s="335">
        <f t="shared" si="37"/>
        <v>0.21762719999999999</v>
      </c>
      <c r="AC45" s="336"/>
      <c r="AD45" s="337"/>
      <c r="AE45" s="317">
        <f t="shared" si="38"/>
        <v>0.25643295850705494</v>
      </c>
      <c r="AF45" s="329"/>
      <c r="AG45" s="329">
        <f t="shared" si="39"/>
        <v>3.4802685572278773E-2</v>
      </c>
      <c r="AH45" s="385">
        <f t="shared" si="40"/>
        <v>3.6597112040385458</v>
      </c>
      <c r="AI45" s="392">
        <f t="shared" si="41"/>
        <v>6.429990739132375</v>
      </c>
    </row>
    <row r="46" spans="1:36" x14ac:dyDescent="0.25">
      <c r="A46" s="410">
        <f>IF(Inputs!B23="","",IF(units=2,CONVERT(Inputs!B23,"ft","m"),Inputs!B23))</f>
        <v>15.6972</v>
      </c>
      <c r="B46" s="415">
        <f>IF(Inputs!G23="","",IF(units=2,CONVERT(Inputs!G23,"ft","m"),Inputs!G23))</f>
        <v>2.1335999999999999</v>
      </c>
      <c r="C46" s="409" t="str">
        <f t="shared" si="31"/>
        <v>Susceptible</v>
      </c>
      <c r="D46" s="299">
        <f>IF(A46="",NA(),'PB Liquefaction Initiation'!D53)</f>
        <v>10.322847584760181</v>
      </c>
      <c r="E46" s="295">
        <f>EXP(('PB Liquefaction Initiation'!J53-(29.06*LN(7.5))+15.25)/13.79)</f>
        <v>1.4330098467419019</v>
      </c>
      <c r="F46" s="299">
        <f t="shared" si="32"/>
        <v>41.47860409247194</v>
      </c>
      <c r="G46" s="295">
        <f>_xlfn.NORM.S.DIST(-(D46-'PB Liquefaction Initiation'!J53)/4.21,TRUE)</f>
        <v>1</v>
      </c>
      <c r="H46" s="364">
        <f t="shared" si="33"/>
        <v>3.9738238180199864E-2</v>
      </c>
      <c r="M46" s="369">
        <f t="shared" si="26"/>
        <v>17.79</v>
      </c>
      <c r="N46" s="302">
        <f t="shared" si="27"/>
        <v>1.5214228636759974</v>
      </c>
      <c r="O46" s="303">
        <f t="shared" si="42"/>
        <v>54.451813560247928</v>
      </c>
      <c r="P46" s="303">
        <f t="shared" si="28"/>
        <v>0.9999999999999476</v>
      </c>
      <c r="Q46" s="370">
        <f t="shared" si="43"/>
        <v>2.9509540888956992E-2</v>
      </c>
      <c r="V46" s="315">
        <f t="shared" si="29"/>
        <v>0.92874755511920781</v>
      </c>
      <c r="W46" s="332">
        <f t="shared" si="30"/>
        <v>3.2079778365393621E-2</v>
      </c>
      <c r="X46" s="319">
        <f t="shared" si="34"/>
        <v>3.5210793135788454E-2</v>
      </c>
      <c r="Y46" s="321">
        <f t="shared" si="35"/>
        <v>3.5210793135788454</v>
      </c>
      <c r="Z46" s="333">
        <f t="shared" si="36"/>
        <v>0.12793333333333334</v>
      </c>
      <c r="AA46" s="334">
        <f t="shared" si="44"/>
        <v>9.6110873908027018E-3</v>
      </c>
      <c r="AB46" s="335">
        <f t="shared" si="37"/>
        <v>0.27295856000000002</v>
      </c>
      <c r="AC46" s="336"/>
      <c r="AD46" s="337"/>
      <c r="AE46" s="317">
        <f t="shared" si="38"/>
        <v>6.4531586766818139E-2</v>
      </c>
      <c r="AF46" s="329"/>
      <c r="AG46" s="329">
        <f t="shared" si="39"/>
        <v>8.7581274138909468E-3</v>
      </c>
      <c r="AH46" s="385">
        <f t="shared" si="40"/>
        <v>2.1489291747819381</v>
      </c>
      <c r="AI46" s="392">
        <f t="shared" si="41"/>
        <v>2.7702795350938296</v>
      </c>
    </row>
    <row r="47" spans="1:36" x14ac:dyDescent="0.25">
      <c r="A47" s="410">
        <f>IF(Inputs!B24="","",IF(units=2,CONVERT(Inputs!B24,"ft","m"),Inputs!B24))</f>
        <v>17.3736</v>
      </c>
      <c r="B47" s="415">
        <f>IF(Inputs!G24="","",IF(units=2,CONVERT(Inputs!G24,"ft","m"),Inputs!G24))</f>
        <v>1.2192000000000001</v>
      </c>
      <c r="C47" s="409" t="str">
        <f t="shared" si="31"/>
        <v>Susceptible</v>
      </c>
      <c r="D47" s="299">
        <f>IF(A47="",NA(),'PB Liquefaction Initiation'!D54)</f>
        <v>2.9720420997108414</v>
      </c>
      <c r="E47" s="295">
        <f>EXP(('PB Liquefaction Initiation'!J54-(29.06*LN(7.5))+15.25)/13.79)</f>
        <v>1.4189817079355038</v>
      </c>
      <c r="F47" s="299">
        <f t="shared" si="32"/>
        <v>22.256242943313836</v>
      </c>
      <c r="G47" s="295">
        <f>_xlfn.NORM.S.DIST(-(D47-'PB Liquefaction Initiation'!J54)/4.21,TRUE)</f>
        <v>1</v>
      </c>
      <c r="H47" s="364">
        <f t="shared" si="33"/>
        <v>6.2833715590873598E-2</v>
      </c>
      <c r="M47" s="369">
        <f t="shared" si="26"/>
        <v>17.79</v>
      </c>
      <c r="N47" s="302">
        <f t="shared" si="27"/>
        <v>1.5214228636759974</v>
      </c>
      <c r="O47" s="303">
        <f t="shared" si="42"/>
        <v>54.451813560247928</v>
      </c>
      <c r="P47" s="303">
        <f t="shared" si="28"/>
        <v>0.9999999999999476</v>
      </c>
      <c r="Q47" s="370">
        <f t="shared" si="43"/>
        <v>2.9509540888956992E-2</v>
      </c>
      <c r="V47" s="315">
        <f t="shared" si="29"/>
        <v>0.81070985661644834</v>
      </c>
      <c r="W47" s="332">
        <f t="shared" si="30"/>
        <v>5.2942595661078652E-2</v>
      </c>
      <c r="X47" s="319">
        <f t="shared" si="34"/>
        <v>6.549871513373251E-2</v>
      </c>
      <c r="Y47" s="321">
        <f t="shared" si="35"/>
        <v>6.549871513373251</v>
      </c>
      <c r="Z47" s="333">
        <f t="shared" si="36"/>
        <v>3.4800000000000053E-2</v>
      </c>
      <c r="AA47" s="334">
        <f t="shared" si="44"/>
        <v>2.7789899654884287E-3</v>
      </c>
      <c r="AB47" s="335">
        <f t="shared" si="37"/>
        <v>4.2428160000000069E-2</v>
      </c>
      <c r="AC47" s="336"/>
      <c r="AD47" s="337"/>
      <c r="AE47" s="317">
        <f t="shared" si="38"/>
        <v>3.2653132094489043E-2</v>
      </c>
      <c r="AF47" s="329"/>
      <c r="AG47" s="329">
        <f t="shared" si="39"/>
        <v>4.4316327193305062E-3</v>
      </c>
      <c r="AH47" s="385">
        <f t="shared" si="40"/>
        <v>0.62135036031189161</v>
      </c>
      <c r="AI47" s="392">
        <f t="shared" si="41"/>
        <v>0.62135036031189161</v>
      </c>
    </row>
    <row r="48" spans="1:36" x14ac:dyDescent="0.25">
      <c r="A48" s="410" t="str">
        <f>IF(Inputs!B25="","",IF(units=2,CONVERT(Inputs!B25,"ft","m"),Inputs!B25))</f>
        <v/>
      </c>
      <c r="B48" s="415" t="str">
        <f>IF(Inputs!G25="","",IF(units=2,CONVERT(Inputs!G25,"ft","m"),Inputs!G25))</f>
        <v/>
      </c>
      <c r="C48" s="409" t="str">
        <f t="shared" si="31"/>
        <v/>
      </c>
      <c r="D48" s="299" t="e">
        <f>IF(A48="",NA(),'PB Liquefaction Initiation'!D55)</f>
        <v>#N/A</v>
      </c>
      <c r="E48" s="295" t="e">
        <f>EXP(('PB Liquefaction Initiation'!J55-(29.06*LN(7.5))+15.25)/13.79)</f>
        <v>#N/A</v>
      </c>
      <c r="F48" s="299" t="e">
        <f t="shared" si="32"/>
        <v>#N/A</v>
      </c>
      <c r="G48" s="295" t="e">
        <f>_xlfn.NORM.S.DIST(-(D48-'PB Liquefaction Initiation'!J55)/4.21,TRUE)</f>
        <v>#N/A</v>
      </c>
      <c r="H48" s="364" t="e">
        <f t="shared" si="33"/>
        <v>#N/A</v>
      </c>
      <c r="M48" s="369" t="e">
        <f t="shared" si="26"/>
        <v>#N/A</v>
      </c>
      <c r="N48" s="302" t="e">
        <f t="shared" si="27"/>
        <v>#N/A</v>
      </c>
      <c r="O48" s="303" t="e">
        <f t="shared" si="42"/>
        <v>#N/A</v>
      </c>
      <c r="P48" s="303" t="e">
        <f t="shared" si="28"/>
        <v>#N/A</v>
      </c>
      <c r="Q48" s="370" t="e">
        <f t="shared" si="43"/>
        <v>#N/A</v>
      </c>
      <c r="V48" s="315" t="e">
        <f t="shared" si="29"/>
        <v>#N/A</v>
      </c>
      <c r="W48" s="332" t="e">
        <f t="shared" si="30"/>
        <v>#N/A</v>
      </c>
      <c r="X48" s="319" t="e">
        <f t="shared" si="34"/>
        <v>#N/A</v>
      </c>
      <c r="Y48" s="321" t="e">
        <f t="shared" si="35"/>
        <v>#N/A</v>
      </c>
      <c r="Z48" s="333" t="e">
        <f t="shared" si="36"/>
        <v>#N/A</v>
      </c>
      <c r="AA48" s="334" t="e">
        <f t="shared" si="44"/>
        <v>#N/A</v>
      </c>
      <c r="AB48" s="335" t="e">
        <f t="shared" si="37"/>
        <v>#N/A</v>
      </c>
      <c r="AC48" s="336"/>
      <c r="AD48" s="337"/>
      <c r="AE48" s="317" t="e">
        <f t="shared" si="38"/>
        <v>#N/A</v>
      </c>
      <c r="AF48" s="329"/>
      <c r="AG48" s="329" t="e">
        <f t="shared" si="39"/>
        <v>#N/A</v>
      </c>
      <c r="AH48" s="385" t="e">
        <f t="shared" si="40"/>
        <v>#N/A</v>
      </c>
      <c r="AI48" s="392">
        <f t="shared" si="41"/>
        <v>0</v>
      </c>
    </row>
    <row r="49" spans="1:35" x14ac:dyDescent="0.25">
      <c r="A49" s="410" t="str">
        <f>IF(Inputs!B26="","",IF(units=2,CONVERT(Inputs!B26,"ft","m"),Inputs!B26))</f>
        <v/>
      </c>
      <c r="B49" s="415" t="str">
        <f>IF(Inputs!G26="","",IF(units=2,CONVERT(Inputs!G26,"ft","m"),Inputs!G26))</f>
        <v/>
      </c>
      <c r="C49" s="409" t="str">
        <f t="shared" si="31"/>
        <v/>
      </c>
      <c r="D49" s="299" t="e">
        <f>IF(A49="",NA(),'PB Liquefaction Initiation'!D56)</f>
        <v>#N/A</v>
      </c>
      <c r="E49" s="295" t="e">
        <f>EXP(('PB Liquefaction Initiation'!J56-(29.06*LN(7.5))+15.25)/13.79)</f>
        <v>#N/A</v>
      </c>
      <c r="F49" s="299" t="e">
        <f t="shared" si="32"/>
        <v>#N/A</v>
      </c>
      <c r="G49" s="295" t="e">
        <f>_xlfn.NORM.S.DIST(-(D49-'PB Liquefaction Initiation'!J56)/4.21,TRUE)</f>
        <v>#N/A</v>
      </c>
      <c r="H49" s="364" t="e">
        <f t="shared" si="33"/>
        <v>#N/A</v>
      </c>
      <c r="M49" s="369" t="e">
        <f t="shared" si="26"/>
        <v>#N/A</v>
      </c>
      <c r="N49" s="302" t="e">
        <f t="shared" si="27"/>
        <v>#N/A</v>
      </c>
      <c r="O49" s="303" t="e">
        <f t="shared" si="42"/>
        <v>#N/A</v>
      </c>
      <c r="P49" s="303" t="e">
        <f t="shared" si="28"/>
        <v>#N/A</v>
      </c>
      <c r="Q49" s="370" t="e">
        <f t="shared" si="43"/>
        <v>#N/A</v>
      </c>
      <c r="V49" s="315" t="e">
        <f t="shared" si="29"/>
        <v>#N/A</v>
      </c>
      <c r="W49" s="332" t="e">
        <f t="shared" si="30"/>
        <v>#N/A</v>
      </c>
      <c r="X49" s="319" t="e">
        <f t="shared" si="34"/>
        <v>#N/A</v>
      </c>
      <c r="Y49" s="321" t="e">
        <f t="shared" si="35"/>
        <v>#N/A</v>
      </c>
      <c r="Z49" s="333" t="e">
        <f t="shared" si="36"/>
        <v>#N/A</v>
      </c>
      <c r="AA49" s="334" t="e">
        <f t="shared" si="44"/>
        <v>#N/A</v>
      </c>
      <c r="AB49" s="335" t="e">
        <f t="shared" si="37"/>
        <v>#N/A</v>
      </c>
      <c r="AC49" s="336"/>
      <c r="AD49" s="337"/>
      <c r="AE49" s="317" t="e">
        <f t="shared" si="38"/>
        <v>#N/A</v>
      </c>
      <c r="AF49" s="329"/>
      <c r="AG49" s="329" t="e">
        <f t="shared" si="39"/>
        <v>#N/A</v>
      </c>
      <c r="AH49" s="385" t="e">
        <f t="shared" si="40"/>
        <v>#N/A</v>
      </c>
      <c r="AI49" s="392">
        <f t="shared" si="41"/>
        <v>0</v>
      </c>
    </row>
    <row r="50" spans="1:35" x14ac:dyDescent="0.25">
      <c r="A50" s="410" t="str">
        <f>IF(Inputs!B27="","",IF(units=2,CONVERT(Inputs!B27,"ft","m"),Inputs!B27))</f>
        <v/>
      </c>
      <c r="B50" s="415" t="str">
        <f>IF(Inputs!G27="","",IF(units=2,CONVERT(Inputs!G27,"ft","m"),Inputs!G27))</f>
        <v/>
      </c>
      <c r="C50" s="409" t="str">
        <f t="shared" si="31"/>
        <v/>
      </c>
      <c r="D50" s="299" t="e">
        <f>IF(A50="",NA(),'PB Liquefaction Initiation'!D57)</f>
        <v>#N/A</v>
      </c>
      <c r="E50" s="295" t="e">
        <f>EXP(('PB Liquefaction Initiation'!J57-(29.06*LN(7.5))+15.25)/13.79)</f>
        <v>#N/A</v>
      </c>
      <c r="F50" s="299" t="e">
        <f t="shared" si="32"/>
        <v>#N/A</v>
      </c>
      <c r="G50" s="295" t="e">
        <f>_xlfn.NORM.S.DIST(-(D50-'PB Liquefaction Initiation'!J57)/4.21,TRUE)</f>
        <v>#N/A</v>
      </c>
      <c r="H50" s="364" t="e">
        <f t="shared" si="33"/>
        <v>#N/A</v>
      </c>
      <c r="M50" s="369" t="e">
        <f t="shared" si="26"/>
        <v>#N/A</v>
      </c>
      <c r="N50" s="302" t="e">
        <f t="shared" si="27"/>
        <v>#N/A</v>
      </c>
      <c r="O50" s="303" t="e">
        <f t="shared" si="42"/>
        <v>#N/A</v>
      </c>
      <c r="P50" s="303" t="e">
        <f t="shared" si="28"/>
        <v>#N/A</v>
      </c>
      <c r="Q50" s="370" t="e">
        <f t="shared" si="43"/>
        <v>#N/A</v>
      </c>
      <c r="V50" s="315" t="e">
        <f t="shared" si="29"/>
        <v>#N/A</v>
      </c>
      <c r="W50" s="332" t="e">
        <f t="shared" si="30"/>
        <v>#N/A</v>
      </c>
      <c r="X50" s="319" t="e">
        <f t="shared" si="34"/>
        <v>#N/A</v>
      </c>
      <c r="Y50" s="321" t="e">
        <f t="shared" si="35"/>
        <v>#N/A</v>
      </c>
      <c r="Z50" s="333" t="e">
        <f t="shared" si="36"/>
        <v>#N/A</v>
      </c>
      <c r="AA50" s="334" t="e">
        <f t="shared" si="44"/>
        <v>#N/A</v>
      </c>
      <c r="AB50" s="335" t="e">
        <f t="shared" si="37"/>
        <v>#N/A</v>
      </c>
      <c r="AC50" s="336"/>
      <c r="AD50" s="337"/>
      <c r="AE50" s="317" t="e">
        <f t="shared" si="38"/>
        <v>#N/A</v>
      </c>
      <c r="AF50" s="329"/>
      <c r="AG50" s="329" t="e">
        <f t="shared" si="39"/>
        <v>#N/A</v>
      </c>
      <c r="AH50" s="385" t="e">
        <f t="shared" si="40"/>
        <v>#N/A</v>
      </c>
      <c r="AI50" s="392">
        <f t="shared" si="41"/>
        <v>0</v>
      </c>
    </row>
    <row r="51" spans="1:35" x14ac:dyDescent="0.25">
      <c r="A51" s="410" t="str">
        <f>IF(Inputs!B28="","",IF(units=2,CONVERT(Inputs!B28,"ft","m"),Inputs!B28))</f>
        <v/>
      </c>
      <c r="B51" s="415" t="str">
        <f>IF(Inputs!G28="","",IF(units=2,CONVERT(Inputs!G28,"ft","m"),Inputs!G28))</f>
        <v/>
      </c>
      <c r="C51" s="409" t="str">
        <f t="shared" si="31"/>
        <v/>
      </c>
      <c r="D51" s="299" t="e">
        <f>IF(A51="",NA(),'PB Liquefaction Initiation'!D58)</f>
        <v>#N/A</v>
      </c>
      <c r="E51" s="295" t="e">
        <f>EXP(('PB Liquefaction Initiation'!J58-(29.06*LN(7.5))+15.25)/13.79)</f>
        <v>#N/A</v>
      </c>
      <c r="F51" s="299" t="e">
        <f t="shared" si="32"/>
        <v>#N/A</v>
      </c>
      <c r="G51" s="295" t="e">
        <f>_xlfn.NORM.S.DIST(-(D51-'PB Liquefaction Initiation'!J58)/4.21,TRUE)</f>
        <v>#N/A</v>
      </c>
      <c r="H51" s="364" t="e">
        <f t="shared" si="33"/>
        <v>#N/A</v>
      </c>
      <c r="M51" s="369" t="e">
        <f t="shared" si="26"/>
        <v>#N/A</v>
      </c>
      <c r="N51" s="302" t="e">
        <f t="shared" si="27"/>
        <v>#N/A</v>
      </c>
      <c r="O51" s="303" t="e">
        <f t="shared" si="42"/>
        <v>#N/A</v>
      </c>
      <c r="P51" s="303" t="e">
        <f t="shared" si="28"/>
        <v>#N/A</v>
      </c>
      <c r="Q51" s="370" t="e">
        <f t="shared" si="43"/>
        <v>#N/A</v>
      </c>
      <c r="V51" s="315" t="e">
        <f t="shared" si="29"/>
        <v>#N/A</v>
      </c>
      <c r="W51" s="332" t="e">
        <f t="shared" si="30"/>
        <v>#N/A</v>
      </c>
      <c r="X51" s="319" t="e">
        <f t="shared" si="34"/>
        <v>#N/A</v>
      </c>
      <c r="Y51" s="321" t="e">
        <f t="shared" si="35"/>
        <v>#N/A</v>
      </c>
      <c r="Z51" s="333" t="e">
        <f t="shared" si="36"/>
        <v>#N/A</v>
      </c>
      <c r="AA51" s="334" t="e">
        <f t="shared" si="44"/>
        <v>#N/A</v>
      </c>
      <c r="AB51" s="335" t="e">
        <f t="shared" si="37"/>
        <v>#N/A</v>
      </c>
      <c r="AC51" s="336"/>
      <c r="AD51" s="337"/>
      <c r="AE51" s="317" t="e">
        <f t="shared" si="38"/>
        <v>#N/A</v>
      </c>
      <c r="AF51" s="329"/>
      <c r="AG51" s="329" t="e">
        <f t="shared" si="39"/>
        <v>#N/A</v>
      </c>
      <c r="AH51" s="385" t="e">
        <f t="shared" si="40"/>
        <v>#N/A</v>
      </c>
      <c r="AI51" s="392">
        <f t="shared" si="41"/>
        <v>0</v>
      </c>
    </row>
    <row r="52" spans="1:35" x14ac:dyDescent="0.25">
      <c r="A52" s="410" t="str">
        <f>IF(Inputs!B29="","",IF(units=2,CONVERT(Inputs!B29,"ft","m"),Inputs!B29))</f>
        <v/>
      </c>
      <c r="B52" s="415" t="str">
        <f>IF(Inputs!G29="","",IF(units=2,CONVERT(Inputs!G29,"ft","m"),Inputs!G29))</f>
        <v/>
      </c>
      <c r="C52" s="409" t="str">
        <f t="shared" si="31"/>
        <v/>
      </c>
      <c r="D52" s="299" t="e">
        <f>IF(A52="",NA(),'PB Liquefaction Initiation'!D59)</f>
        <v>#N/A</v>
      </c>
      <c r="E52" s="295" t="e">
        <f>EXP(('PB Liquefaction Initiation'!J59-(29.06*LN(7.5))+15.25)/13.79)</f>
        <v>#N/A</v>
      </c>
      <c r="F52" s="299" t="e">
        <f t="shared" si="32"/>
        <v>#N/A</v>
      </c>
      <c r="G52" s="295" t="e">
        <f>_xlfn.NORM.S.DIST(-(D52-'PB Liquefaction Initiation'!J59)/4.21,TRUE)</f>
        <v>#N/A</v>
      </c>
      <c r="H52" s="364" t="e">
        <f t="shared" si="33"/>
        <v>#N/A</v>
      </c>
      <c r="M52" s="369" t="e">
        <f t="shared" si="26"/>
        <v>#N/A</v>
      </c>
      <c r="N52" s="302" t="e">
        <f t="shared" si="27"/>
        <v>#N/A</v>
      </c>
      <c r="O52" s="303" t="e">
        <f t="shared" si="42"/>
        <v>#N/A</v>
      </c>
      <c r="P52" s="303" t="e">
        <f t="shared" si="28"/>
        <v>#N/A</v>
      </c>
      <c r="Q52" s="370" t="e">
        <f t="shared" si="43"/>
        <v>#N/A</v>
      </c>
      <c r="V52" s="315" t="e">
        <f t="shared" si="29"/>
        <v>#N/A</v>
      </c>
      <c r="W52" s="332" t="e">
        <f t="shared" si="30"/>
        <v>#N/A</v>
      </c>
      <c r="X52" s="319" t="e">
        <f t="shared" si="34"/>
        <v>#N/A</v>
      </c>
      <c r="Y52" s="321" t="e">
        <f t="shared" si="35"/>
        <v>#N/A</v>
      </c>
      <c r="Z52" s="333" t="e">
        <f t="shared" si="36"/>
        <v>#N/A</v>
      </c>
      <c r="AA52" s="334" t="e">
        <f t="shared" si="44"/>
        <v>#N/A</v>
      </c>
      <c r="AB52" s="335" t="e">
        <f t="shared" si="37"/>
        <v>#N/A</v>
      </c>
      <c r="AC52" s="336"/>
      <c r="AD52" s="337"/>
      <c r="AE52" s="317" t="e">
        <f t="shared" si="38"/>
        <v>#N/A</v>
      </c>
      <c r="AF52" s="329"/>
      <c r="AG52" s="329" t="e">
        <f t="shared" si="39"/>
        <v>#N/A</v>
      </c>
      <c r="AH52" s="385" t="e">
        <f t="shared" si="40"/>
        <v>#N/A</v>
      </c>
      <c r="AI52" s="392">
        <f t="shared" si="41"/>
        <v>0</v>
      </c>
    </row>
    <row r="53" spans="1:35" x14ac:dyDescent="0.25">
      <c r="A53" s="410" t="str">
        <f>IF(Inputs!B30="","",IF(units=2,CONVERT(Inputs!B30,"ft","m"),Inputs!B30))</f>
        <v/>
      </c>
      <c r="B53" s="415" t="str">
        <f>IF(Inputs!G30="","",IF(units=2,CONVERT(Inputs!G30,"ft","m"),Inputs!G30))</f>
        <v/>
      </c>
      <c r="C53" s="409" t="str">
        <f t="shared" si="31"/>
        <v/>
      </c>
      <c r="D53" s="299" t="e">
        <f>IF(A53="",NA(),'PB Liquefaction Initiation'!D60)</f>
        <v>#N/A</v>
      </c>
      <c r="E53" s="295" t="e">
        <f>EXP(('PB Liquefaction Initiation'!J60-(29.06*LN(7.5))+15.25)/13.79)</f>
        <v>#N/A</v>
      </c>
      <c r="F53" s="299" t="e">
        <f t="shared" si="32"/>
        <v>#N/A</v>
      </c>
      <c r="G53" s="295" t="e">
        <f>_xlfn.NORM.S.DIST(-(D53-'PB Liquefaction Initiation'!J60)/4.21,TRUE)</f>
        <v>#N/A</v>
      </c>
      <c r="H53" s="364" t="e">
        <f t="shared" si="33"/>
        <v>#N/A</v>
      </c>
      <c r="M53" s="369" t="e">
        <f t="shared" si="26"/>
        <v>#N/A</v>
      </c>
      <c r="N53" s="302" t="e">
        <f t="shared" si="27"/>
        <v>#N/A</v>
      </c>
      <c r="O53" s="303" t="e">
        <f t="shared" si="42"/>
        <v>#N/A</v>
      </c>
      <c r="P53" s="303" t="e">
        <f t="shared" si="28"/>
        <v>#N/A</v>
      </c>
      <c r="Q53" s="370" t="e">
        <f t="shared" si="43"/>
        <v>#N/A</v>
      </c>
      <c r="V53" s="315" t="e">
        <f t="shared" si="29"/>
        <v>#N/A</v>
      </c>
      <c r="W53" s="332" t="e">
        <f t="shared" si="30"/>
        <v>#N/A</v>
      </c>
      <c r="X53" s="319" t="e">
        <f t="shared" si="34"/>
        <v>#N/A</v>
      </c>
      <c r="Y53" s="321" t="e">
        <f t="shared" si="35"/>
        <v>#N/A</v>
      </c>
      <c r="Z53" s="333" t="e">
        <f t="shared" si="36"/>
        <v>#N/A</v>
      </c>
      <c r="AA53" s="334" t="e">
        <f t="shared" si="44"/>
        <v>#N/A</v>
      </c>
      <c r="AB53" s="335" t="e">
        <f t="shared" si="37"/>
        <v>#N/A</v>
      </c>
      <c r="AC53" s="336"/>
      <c r="AD53" s="337"/>
      <c r="AE53" s="317" t="e">
        <f t="shared" si="38"/>
        <v>#N/A</v>
      </c>
      <c r="AF53" s="329"/>
      <c r="AG53" s="329" t="e">
        <f t="shared" si="39"/>
        <v>#N/A</v>
      </c>
      <c r="AH53" s="385" t="e">
        <f t="shared" si="40"/>
        <v>#N/A</v>
      </c>
      <c r="AI53" s="392">
        <f t="shared" si="41"/>
        <v>0</v>
      </c>
    </row>
    <row r="54" spans="1:35" x14ac:dyDescent="0.25">
      <c r="A54" s="410" t="str">
        <f>IF(Inputs!B31="","",IF(units=2,CONVERT(Inputs!B31,"ft","m"),Inputs!B31))</f>
        <v/>
      </c>
      <c r="B54" s="415" t="str">
        <f>IF(Inputs!G31="","",IF(units=2,CONVERT(Inputs!G31,"ft","m"),Inputs!G31))</f>
        <v/>
      </c>
      <c r="C54" s="409" t="str">
        <f t="shared" si="31"/>
        <v/>
      </c>
      <c r="D54" s="299" t="e">
        <f>IF(A54="",NA(),'PB Liquefaction Initiation'!D61)</f>
        <v>#N/A</v>
      </c>
      <c r="E54" s="295" t="e">
        <f>EXP(('PB Liquefaction Initiation'!J61-(29.06*LN(7.5))+15.25)/13.79)</f>
        <v>#N/A</v>
      </c>
      <c r="F54" s="299" t="e">
        <f t="shared" si="32"/>
        <v>#N/A</v>
      </c>
      <c r="G54" s="295" t="e">
        <f>_xlfn.NORM.S.DIST(-(D54-'PB Liquefaction Initiation'!J61)/4.21,TRUE)</f>
        <v>#N/A</v>
      </c>
      <c r="H54" s="364" t="e">
        <f t="shared" si="33"/>
        <v>#N/A</v>
      </c>
      <c r="M54" s="369" t="e">
        <f t="shared" si="26"/>
        <v>#N/A</v>
      </c>
      <c r="N54" s="302" t="e">
        <f t="shared" si="27"/>
        <v>#N/A</v>
      </c>
      <c r="O54" s="303" t="e">
        <f t="shared" si="42"/>
        <v>#N/A</v>
      </c>
      <c r="P54" s="303" t="e">
        <f t="shared" si="28"/>
        <v>#N/A</v>
      </c>
      <c r="Q54" s="370" t="e">
        <f t="shared" si="43"/>
        <v>#N/A</v>
      </c>
      <c r="V54" s="315" t="e">
        <f t="shared" si="29"/>
        <v>#N/A</v>
      </c>
      <c r="W54" s="332" t="e">
        <f t="shared" si="30"/>
        <v>#N/A</v>
      </c>
      <c r="X54" s="319" t="e">
        <f t="shared" si="34"/>
        <v>#N/A</v>
      </c>
      <c r="Y54" s="321" t="e">
        <f t="shared" si="35"/>
        <v>#N/A</v>
      </c>
      <c r="Z54" s="333" t="e">
        <f t="shared" si="36"/>
        <v>#N/A</v>
      </c>
      <c r="AA54" s="334" t="e">
        <f t="shared" si="44"/>
        <v>#N/A</v>
      </c>
      <c r="AB54" s="335" t="e">
        <f t="shared" si="37"/>
        <v>#N/A</v>
      </c>
      <c r="AC54" s="336"/>
      <c r="AD54" s="337"/>
      <c r="AE54" s="317" t="e">
        <f t="shared" si="38"/>
        <v>#N/A</v>
      </c>
      <c r="AF54" s="329"/>
      <c r="AG54" s="329" t="e">
        <f t="shared" si="39"/>
        <v>#N/A</v>
      </c>
      <c r="AH54" s="385" t="e">
        <f t="shared" si="40"/>
        <v>#N/A</v>
      </c>
      <c r="AI54" s="392">
        <f t="shared" si="41"/>
        <v>0</v>
      </c>
    </row>
    <row r="55" spans="1:35" ht="15.75" thickBot="1" x14ac:dyDescent="0.3">
      <c r="A55" s="412" t="str">
        <f>IF(Inputs!B32="","",IF(units=2,CONVERT(Inputs!B32,"ft","m"),Inputs!B32))</f>
        <v/>
      </c>
      <c r="B55" s="416" t="str">
        <f>IF(Inputs!G32="","",IF(units=2,CONVERT(Inputs!G32,"ft","m"),Inputs!G32))</f>
        <v/>
      </c>
      <c r="C55" s="414" t="str">
        <f t="shared" si="31"/>
        <v/>
      </c>
      <c r="D55" s="365" t="e">
        <f>IF(A55="",NA(),'PB Liquefaction Initiation'!D62)</f>
        <v>#N/A</v>
      </c>
      <c r="E55" s="358" t="e">
        <f>EXP(('PB Liquefaction Initiation'!J62-(29.06*LN(7.5))+15.25)/13.79)</f>
        <v>#N/A</v>
      </c>
      <c r="F55" s="365" t="e">
        <f t="shared" si="32"/>
        <v>#N/A</v>
      </c>
      <c r="G55" s="358" t="e">
        <f>_xlfn.NORM.S.DIST(-(D55-'PB Liquefaction Initiation'!J62)/4.21,TRUE)</f>
        <v>#N/A</v>
      </c>
      <c r="H55" s="366" t="e">
        <f t="shared" si="33"/>
        <v>#N/A</v>
      </c>
      <c r="M55" s="371" t="e">
        <f t="shared" si="26"/>
        <v>#N/A</v>
      </c>
      <c r="N55" s="372" t="e">
        <f t="shared" si="27"/>
        <v>#N/A</v>
      </c>
      <c r="O55" s="373" t="e">
        <f t="shared" si="42"/>
        <v>#N/A</v>
      </c>
      <c r="P55" s="373" t="e">
        <f t="shared" si="28"/>
        <v>#N/A</v>
      </c>
      <c r="Q55" s="374" t="e">
        <f t="shared" si="43"/>
        <v>#N/A</v>
      </c>
      <c r="V55" s="316" t="e">
        <f t="shared" si="29"/>
        <v>#N/A</v>
      </c>
      <c r="W55" s="376" t="e">
        <f t="shared" si="30"/>
        <v>#N/A</v>
      </c>
      <c r="X55" s="320" t="e">
        <f t="shared" si="34"/>
        <v>#N/A</v>
      </c>
      <c r="Y55" s="322" t="e">
        <f t="shared" si="35"/>
        <v>#N/A</v>
      </c>
      <c r="Z55" s="338" t="e">
        <f t="shared" si="36"/>
        <v>#N/A</v>
      </c>
      <c r="AA55" s="339" t="e">
        <f t="shared" si="44"/>
        <v>#N/A</v>
      </c>
      <c r="AB55" s="340" t="e">
        <f t="shared" si="37"/>
        <v>#N/A</v>
      </c>
      <c r="AC55" s="341"/>
      <c r="AD55" s="342"/>
      <c r="AE55" s="318" t="e">
        <f t="shared" si="38"/>
        <v>#N/A</v>
      </c>
      <c r="AF55" s="331"/>
      <c r="AG55" s="331" t="e">
        <f t="shared" si="39"/>
        <v>#N/A</v>
      </c>
      <c r="AH55" s="386" t="e">
        <f t="shared" si="40"/>
        <v>#N/A</v>
      </c>
      <c r="AI55" s="393">
        <f>IF(OR(C55="",C55="Not_susc."),0,AH55)</f>
        <v>0</v>
      </c>
    </row>
  </sheetData>
  <sheetProtection password="C5B9" sheet="1" objects="1" scenarios="1"/>
  <mergeCells count="12">
    <mergeCell ref="X6:Y6"/>
    <mergeCell ref="X34:Y34"/>
    <mergeCell ref="Z6:AD6"/>
    <mergeCell ref="Z34:AD34"/>
    <mergeCell ref="AE6:AI6"/>
    <mergeCell ref="AE34:AI34"/>
    <mergeCell ref="D6:L6"/>
    <mergeCell ref="M6:U6"/>
    <mergeCell ref="V6:W6"/>
    <mergeCell ref="D34:H34"/>
    <mergeCell ref="M34:Q34"/>
    <mergeCell ref="V34:W34"/>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3">
    <tabColor rgb="FFFFCDCD"/>
  </sheetPr>
  <dimension ref="A1:AH52"/>
  <sheetViews>
    <sheetView showGridLines="0" workbookViewId="0"/>
  </sheetViews>
  <sheetFormatPr defaultRowHeight="15.75" x14ac:dyDescent="0.25"/>
  <cols>
    <col min="1" max="1" width="17.25" customWidth="1"/>
    <col min="2" max="2" width="11.625" customWidth="1"/>
    <col min="3" max="3" width="12.125" customWidth="1"/>
    <col min="5" max="5" width="10.5" bestFit="1" customWidth="1"/>
  </cols>
  <sheetData>
    <row r="1" spans="1:34" x14ac:dyDescent="0.25">
      <c r="A1" s="2" t="s">
        <v>249</v>
      </c>
      <c r="B1" s="2"/>
      <c r="C1" s="2"/>
      <c r="D1" s="43"/>
      <c r="E1" s="43"/>
      <c r="F1" s="43"/>
      <c r="G1" s="43"/>
      <c r="H1" s="43"/>
      <c r="I1" s="42"/>
      <c r="J1" s="42"/>
      <c r="K1" s="42"/>
      <c r="L1" s="42"/>
      <c r="M1" s="42"/>
      <c r="N1" s="42"/>
      <c r="O1" s="42"/>
      <c r="P1" s="42"/>
      <c r="Q1" s="42"/>
      <c r="R1" s="42"/>
      <c r="S1" s="42"/>
      <c r="T1" s="42"/>
      <c r="U1" s="42"/>
      <c r="V1" s="42"/>
      <c r="W1" s="42"/>
      <c r="X1" s="42"/>
      <c r="Y1" s="42"/>
      <c r="Z1" s="43"/>
      <c r="AA1" s="43"/>
      <c r="AB1" s="43"/>
      <c r="AC1" s="43"/>
      <c r="AD1" s="42"/>
      <c r="AE1" s="42"/>
      <c r="AF1" s="42"/>
      <c r="AG1" s="42"/>
      <c r="AH1" s="43"/>
    </row>
    <row r="2" spans="1:34" x14ac:dyDescent="0.25">
      <c r="A2" s="43"/>
      <c r="B2" s="43"/>
      <c r="C2" s="43"/>
      <c r="D2" s="43"/>
      <c r="E2" s="43"/>
      <c r="F2" s="43"/>
      <c r="G2" s="43"/>
      <c r="H2" s="43"/>
      <c r="I2" s="42"/>
      <c r="J2" s="42"/>
      <c r="K2" s="42"/>
      <c r="L2" s="42"/>
      <c r="M2" s="42"/>
      <c r="N2" s="42"/>
      <c r="O2" s="42"/>
      <c r="P2" s="42"/>
      <c r="Q2" s="42"/>
      <c r="R2" s="42"/>
      <c r="S2" s="42"/>
      <c r="T2" s="42"/>
      <c r="U2" s="42"/>
      <c r="V2" s="42"/>
      <c r="W2" s="42"/>
      <c r="X2" s="42"/>
      <c r="Y2" s="42"/>
      <c r="Z2" s="43"/>
      <c r="AA2" s="43"/>
      <c r="AB2" s="43"/>
      <c r="AC2" s="43"/>
      <c r="AD2" s="42"/>
      <c r="AE2" s="42"/>
      <c r="AF2" s="42"/>
      <c r="AG2" s="42"/>
      <c r="AH2" s="43"/>
    </row>
    <row r="3" spans="1:34" x14ac:dyDescent="0.25">
      <c r="A3" s="305" t="s">
        <v>38</v>
      </c>
      <c r="B3" s="405">
        <f>IF(design_gw="",NA(),IF(units=2,CONVERT(design_gw,"ft","m"),design_gw))</f>
        <v>0</v>
      </c>
      <c r="C3" s="43" t="s">
        <v>23</v>
      </c>
      <c r="D3" s="43"/>
      <c r="E3" s="43"/>
      <c r="F3" s="43"/>
      <c r="G3" s="43"/>
      <c r="H3" s="43"/>
      <c r="I3" s="42"/>
      <c r="J3" s="42"/>
      <c r="K3" s="42"/>
      <c r="L3" s="42"/>
      <c r="M3" s="42"/>
      <c r="N3" s="42"/>
      <c r="O3" s="42"/>
      <c r="P3" s="42"/>
      <c r="Q3" s="42"/>
      <c r="R3" s="42"/>
      <c r="S3" s="42"/>
      <c r="T3" s="42"/>
      <c r="U3" s="42"/>
      <c r="V3" s="42"/>
      <c r="W3" s="42"/>
      <c r="X3" s="42"/>
      <c r="Y3" s="42"/>
      <c r="Z3" s="43"/>
      <c r="AA3" s="43"/>
      <c r="AB3" s="43"/>
      <c r="AC3" s="43"/>
      <c r="AD3" s="42"/>
      <c r="AE3" s="42"/>
      <c r="AF3" s="42"/>
      <c r="AG3" s="42"/>
      <c r="AH3" s="43"/>
    </row>
    <row r="4" spans="1:34" ht="16.5" thickBot="1" x14ac:dyDescent="0.3">
      <c r="D4" s="43"/>
      <c r="E4" s="43"/>
      <c r="F4" s="43"/>
      <c r="G4" s="43"/>
      <c r="O4" s="42"/>
      <c r="P4" s="42"/>
      <c r="Q4" s="42"/>
      <c r="R4" s="42"/>
      <c r="S4" s="42"/>
      <c r="T4" s="42"/>
      <c r="U4" s="42"/>
      <c r="V4" s="42"/>
      <c r="W4" s="42"/>
      <c r="X4" s="42"/>
      <c r="Y4" s="383"/>
      <c r="Z4" s="80"/>
      <c r="AA4" s="80"/>
      <c r="AB4" s="80"/>
      <c r="AC4" s="80"/>
      <c r="AD4" s="383"/>
      <c r="AE4" s="42"/>
      <c r="AF4" s="42"/>
      <c r="AG4" s="42"/>
      <c r="AH4" s="43"/>
    </row>
    <row r="5" spans="1:34" ht="16.5" thickBot="1" x14ac:dyDescent="0.3">
      <c r="A5" s="43"/>
      <c r="B5" s="43"/>
      <c r="C5" s="43"/>
      <c r="D5" s="627" t="s">
        <v>313</v>
      </c>
      <c r="E5" s="628"/>
      <c r="F5" s="628"/>
      <c r="G5" s="628"/>
      <c r="H5" s="628"/>
      <c r="I5" s="628"/>
      <c r="J5" s="628"/>
      <c r="K5" s="629"/>
      <c r="L5" s="627" t="s">
        <v>290</v>
      </c>
      <c r="M5" s="628"/>
      <c r="N5" s="628"/>
      <c r="O5" s="628"/>
      <c r="P5" s="629"/>
      <c r="Q5" s="638" t="s">
        <v>297</v>
      </c>
      <c r="R5" s="639"/>
      <c r="S5" s="639"/>
      <c r="T5" s="639"/>
      <c r="U5" s="640"/>
    </row>
    <row r="6" spans="1:34" ht="18" x14ac:dyDescent="0.25">
      <c r="A6" s="361" t="s">
        <v>250</v>
      </c>
      <c r="B6" s="362" t="s">
        <v>12</v>
      </c>
      <c r="C6" s="380" t="s">
        <v>234</v>
      </c>
      <c r="D6" s="353" t="s">
        <v>260</v>
      </c>
      <c r="E6" s="293" t="s">
        <v>251</v>
      </c>
      <c r="F6" s="293" t="s">
        <v>252</v>
      </c>
      <c r="G6" s="293" t="s">
        <v>281</v>
      </c>
      <c r="H6" s="293" t="s">
        <v>262</v>
      </c>
      <c r="I6" s="293" t="s">
        <v>265</v>
      </c>
      <c r="J6" s="293" t="s">
        <v>266</v>
      </c>
      <c r="K6" s="417" t="s">
        <v>254</v>
      </c>
      <c r="L6" s="327" t="s">
        <v>285</v>
      </c>
      <c r="M6" s="307" t="s">
        <v>286</v>
      </c>
      <c r="N6" s="307" t="s">
        <v>287</v>
      </c>
      <c r="O6" s="294" t="s">
        <v>288</v>
      </c>
      <c r="P6" s="328" t="s">
        <v>292</v>
      </c>
      <c r="Q6" s="327" t="s">
        <v>295</v>
      </c>
      <c r="R6" s="307" t="s">
        <v>293</v>
      </c>
      <c r="S6" s="307" t="s">
        <v>294</v>
      </c>
      <c r="T6" s="307" t="s">
        <v>296</v>
      </c>
      <c r="U6" s="328" t="s">
        <v>291</v>
      </c>
    </row>
    <row r="7" spans="1:34" x14ac:dyDescent="0.25">
      <c r="A7" s="407">
        <f>IF(Inputs!B13="","",IF(units=2,CONVERT(Inputs!B13,"ft","m"),Inputs!B13))</f>
        <v>0.4572</v>
      </c>
      <c r="B7" s="408">
        <f>IF(Inputs!G13="","",IF(units=2,CONVERT(Inputs!G13,"ft","m"),Inputs!G13))</f>
        <v>0.91439999999999999</v>
      </c>
      <c r="C7" s="409" t="str">
        <f>IF(A7="","",IF(OR(A7&lt;$B$3,Inputs!J13="No"),"Not_susc.","Susceptible"))</f>
        <v>Susceptible</v>
      </c>
      <c r="D7" s="354">
        <f ca="1">IF(OR(A7="",Method_BI=FALSE),NA(),'PB Liquefaction Initiation'!F10)</f>
        <v>33.874185446686866</v>
      </c>
      <c r="E7" s="295">
        <f ca="1">IF(OR(A7="",Method_BI=FALSE),NA(),'Det Liquefaction Initiation'!T10)</f>
        <v>0.76751784001212797</v>
      </c>
      <c r="F7" s="355">
        <f ca="1">IF('PB Liquefaction Initiation'!P10="",NA(),'Det Liquefaction Initiation'!S10)</f>
        <v>0.41396383811397325</v>
      </c>
      <c r="G7" s="295">
        <f ca="1">E7/F7</f>
        <v>1.8540697745700523</v>
      </c>
      <c r="H7" s="295">
        <f ca="1">0.032+(0.69*SQRT(D7))-(0.13*D7)</f>
        <v>-0.3557382711294359</v>
      </c>
      <c r="I7" s="295">
        <f ca="1">MAX(0,1.859*(1.1-SQRT(D7/46))^3)</f>
        <v>2.6302652334095056E-2</v>
      </c>
      <c r="J7" s="295">
        <f ca="1">IF(G7&lt;H7,I7,IF(G7&lt;2,MIN(I7,0.035*(2-G7)*((1-H7)/(G7-H7))),0))</f>
        <v>3.1335353842263454E-3</v>
      </c>
      <c r="K7" s="356">
        <f ca="1">MAX(0,1.5*EXP(-0.369*SQRT(D7))*MIN(0.08,J7))</f>
        <v>5.4880636270346491E-4</v>
      </c>
      <c r="L7" s="333">
        <f t="shared" ref="L7:L26" si="0">IF(A7="",NA(),MAX(0,1-(A7/18)))</f>
        <v>0.97460000000000002</v>
      </c>
      <c r="M7" s="334">
        <f ca="1">K7*B7*L7</f>
        <v>4.8908209318942477E-4</v>
      </c>
      <c r="N7" s="335">
        <f t="shared" ref="N7:N26" si="1">IF(OR(A7="",C7="Not_susc."),NA(),B7*L7)</f>
        <v>0.89117424000000001</v>
      </c>
      <c r="O7" s="334">
        <f ca="1">SUMIFS(M7:M26,C7:C26,"=Susceptible",A7:A26,"&lt;18")/SUMIFS(N7:N26,C7:C26,"=Susceptible",A7:A26,"&lt;18")</f>
        <v>2.5374651734903386E-2</v>
      </c>
      <c r="P7" s="343">
        <f ca="1">0.9*O7*SUMIFS(B7:B26,C7:C26,"=Susceptible",A7:A26,"&lt;18")</f>
        <v>0.32715639980417877</v>
      </c>
      <c r="Q7" s="317">
        <f ca="1">K7*L7*SUMIFS($B$7:$B$26,$C$7:$C$26,"=Susceptible",$A$7:$A$26,"&lt;18")</f>
        <v>7.6622861266343201E-3</v>
      </c>
      <c r="R7" s="385">
        <f>SUMIF(C7:C26,"=Susceptible",N7:$N$26)</f>
        <v>7.3681945600000001</v>
      </c>
      <c r="S7" s="329">
        <f t="shared" ref="S7:S26" ca="1" si="2">Q7/$R$7</f>
        <v>1.0399136537776656E-3</v>
      </c>
      <c r="T7" s="385">
        <f t="shared" ref="T7:T26" ca="1" si="3">0.9*S7*B7*100</f>
        <v>8.5580734051286772E-2</v>
      </c>
      <c r="U7" s="389">
        <f ca="1">SUMIF(C7:C26,"=Susceptible",(T7:T26))</f>
        <v>32.715639980417883</v>
      </c>
    </row>
    <row r="8" spans="1:34" x14ac:dyDescent="0.25">
      <c r="A8" s="410">
        <f>IF(Inputs!B14="","",IF(units=2,CONVERT(Inputs!B14,"ft","m"),Inputs!B14))</f>
        <v>1.6763999999999999</v>
      </c>
      <c r="B8" s="411">
        <f>IF(Inputs!G14="","",IF(units=2,CONVERT(Inputs!G14,"ft","m"),Inputs!G14))</f>
        <v>1.524</v>
      </c>
      <c r="C8" s="409" t="str">
        <f>IF(A8="","",IF(OR(A8&lt;$B$3,Inputs!J14="No"),"Not_susc.","Susceptible"))</f>
        <v>Susceptible</v>
      </c>
      <c r="D8" s="354">
        <f ca="1">IF(OR(A8="",Method_BI=FALSE),NA(),'PB Liquefaction Initiation'!F11)</f>
        <v>11.900438780020192</v>
      </c>
      <c r="E8" s="295">
        <f ca="1">IF(OR(A8="",Method_BI=FALSE),NA(),'Det Liquefaction Initiation'!T11)</f>
        <v>0.11388395869028091</v>
      </c>
      <c r="F8" s="355">
        <f ca="1">IF('PB Liquefaction Initiation'!P11="",NA(),'Det Liquefaction Initiation'!S11)</f>
        <v>0.75372797671486647</v>
      </c>
      <c r="G8" s="295">
        <f t="shared" ref="G8:G26" ca="1" si="4">E8/F8</f>
        <v>0.15109424382340919</v>
      </c>
      <c r="H8" s="295">
        <f t="shared" ref="H8:H26" ca="1" si="5">0.032+(0.69*SQRT(D8))-(0.13*D8)</f>
        <v>0.86523682767480725</v>
      </c>
      <c r="I8" s="295">
        <f t="shared" ref="I8:I26" ca="1" si="6">MAX(0,1.859*(1.1-SQRT(D8/46))^3)</f>
        <v>0.38446402727397266</v>
      </c>
      <c r="J8" s="295">
        <f t="shared" ref="J8:J26" ca="1" si="7">IF(G8&lt;H8,I8,IF(G8&lt;2,MIN(I8,0.035*(2-G8)*((1-H8)/(G8-H8))),0))</f>
        <v>0.38446402727397266</v>
      </c>
      <c r="K8" s="356">
        <f t="shared" ref="K8:K26" ca="1" si="8">MAX(0,1.5*EXP(-0.369*SQRT(D8))*MIN(0.08,J8))</f>
        <v>3.3600870622404452E-2</v>
      </c>
      <c r="L8" s="333">
        <f t="shared" si="0"/>
        <v>0.90686666666666671</v>
      </c>
      <c r="M8" s="334">
        <f ca="1">K8*B8*L8</f>
        <v>4.6438580536579288E-2</v>
      </c>
      <c r="N8" s="335">
        <f t="shared" si="1"/>
        <v>1.3820648</v>
      </c>
      <c r="O8" s="336"/>
      <c r="P8" s="337"/>
      <c r="Q8" s="317">
        <f t="shared" ref="Q8:Q26" ca="1" si="9">K8*L8*SUMIFS($B$7:$B$26,$C$7:$C$26,"=Susceptible",$A$7:$A$26,"&lt;18")</f>
        <v>0.43652265704384535</v>
      </c>
      <c r="R8" s="329"/>
      <c r="S8" s="329">
        <f t="shared" ca="1" si="2"/>
        <v>5.9244181663390461E-2</v>
      </c>
      <c r="T8" s="385">
        <f t="shared" ca="1" si="3"/>
        <v>8.1259319569506356</v>
      </c>
      <c r="U8" s="330">
        <f t="shared" ref="U8:U25" ca="1" si="10">IF(OR(C8="",C8="Not_susc."),U9,U9+T8)</f>
        <v>32.630059246366599</v>
      </c>
    </row>
    <row r="9" spans="1:34" x14ac:dyDescent="0.25">
      <c r="A9" s="410">
        <f>IF(Inputs!B15="","",IF(units=2,CONVERT(Inputs!B15,"ft","m"),Inputs!B15))</f>
        <v>3.2004000000000001</v>
      </c>
      <c r="B9" s="411">
        <f>IF(Inputs!G15="","",IF(units=2,CONVERT(Inputs!G15,"ft","m"),Inputs!G15))</f>
        <v>1.524</v>
      </c>
      <c r="C9" s="409" t="str">
        <f>IF(A9="","",IF(OR(A9&lt;$B$3,Inputs!J15="No"),"Not_susc.","Susceptible"))</f>
        <v>Susceptible</v>
      </c>
      <c r="D9" s="354">
        <f ca="1">IF(OR(A9="",Method_BI=FALSE),NA(),'PB Liquefaction Initiation'!F12)</f>
        <v>13.693403668256009</v>
      </c>
      <c r="E9" s="295">
        <f ca="1">IF(OR(A9="",Method_BI=FALSE),NA(),'Det Liquefaction Initiation'!T12)</f>
        <v>0.12576223947958012</v>
      </c>
      <c r="F9" s="355">
        <f ca="1">IF('PB Liquefaction Initiation'!P12="",NA(),'Det Liquefaction Initiation'!S12)</f>
        <v>0.76658707737983955</v>
      </c>
      <c r="G9" s="295">
        <f t="shared" ca="1" si="4"/>
        <v>0.16405473453769903</v>
      </c>
      <c r="H9" s="295">
        <f t="shared" ca="1" si="5"/>
        <v>0.80517487246986019</v>
      </c>
      <c r="I9" s="295">
        <f t="shared" ca="1" si="6"/>
        <v>0.31676842571943614</v>
      </c>
      <c r="J9" s="295">
        <f t="shared" ca="1" si="7"/>
        <v>0.31676842571943614</v>
      </c>
      <c r="K9" s="356">
        <f t="shared" ca="1" si="8"/>
        <v>3.0631289826677052E-2</v>
      </c>
      <c r="L9" s="333">
        <f t="shared" si="0"/>
        <v>0.82220000000000004</v>
      </c>
      <c r="M9" s="334">
        <f t="shared" ref="M9:M26" ca="1" si="11">K9*B9*L9</f>
        <v>3.8382010859132662E-2</v>
      </c>
      <c r="N9" s="335">
        <f t="shared" si="1"/>
        <v>1.2530328000000002</v>
      </c>
      <c r="O9" s="336"/>
      <c r="P9" s="337"/>
      <c r="Q9" s="317">
        <f t="shared" ca="1" si="9"/>
        <v>0.36079090207584708</v>
      </c>
      <c r="R9" s="329"/>
      <c r="S9" s="329">
        <f t="shared" ca="1" si="2"/>
        <v>4.8965984697864312E-2</v>
      </c>
      <c r="T9" s="385">
        <f t="shared" ca="1" si="3"/>
        <v>6.7161744611590706</v>
      </c>
      <c r="U9" s="330">
        <f t="shared" ca="1" si="10"/>
        <v>24.504127289415962</v>
      </c>
    </row>
    <row r="10" spans="1:34" x14ac:dyDescent="0.25">
      <c r="A10" s="410">
        <f>IF(Inputs!B16="","",IF(units=2,CONVERT(Inputs!B16,"ft","m"),Inputs!B16))</f>
        <v>4.5720000000000001</v>
      </c>
      <c r="B10" s="411">
        <f>IF(Inputs!G16="","",IF(units=2,CONVERT(Inputs!G16,"ft","m"),Inputs!G16))</f>
        <v>1.2192000000000001</v>
      </c>
      <c r="C10" s="409" t="str">
        <f>IF(A10="","",IF(OR(A10&lt;$B$3,Inputs!J16="No"),"Not_susc.","Susceptible"))</f>
        <v>Not_susc.</v>
      </c>
      <c r="D10" s="354">
        <f ca="1">IF(OR(A10="",Method_BI=FALSE),NA(),'PB Liquefaction Initiation'!F13)</f>
        <v>7.5891695726420965</v>
      </c>
      <c r="E10" s="295">
        <f ca="1">IF(OR(A10="",Method_BI=FALSE),NA(),'Det Liquefaction Initiation'!T13)</f>
        <v>8.8135265298010565E-2</v>
      </c>
      <c r="F10" s="355" t="e">
        <f ca="1">IF('PB Liquefaction Initiation'!P13="",NA(),'Det Liquefaction Initiation'!S13)</f>
        <v>#N/A</v>
      </c>
      <c r="G10" s="295" t="e">
        <f t="shared" ca="1" si="4"/>
        <v>#N/A</v>
      </c>
      <c r="H10" s="295">
        <f t="shared" ca="1" si="5"/>
        <v>0.9462508300558643</v>
      </c>
      <c r="I10" s="295">
        <f t="shared" ca="1" si="6"/>
        <v>0.62089819936744439</v>
      </c>
      <c r="J10" s="295" t="e">
        <f t="shared" ca="1" si="7"/>
        <v>#N/A</v>
      </c>
      <c r="K10" s="356" t="e">
        <f t="shared" ca="1" si="8"/>
        <v>#N/A</v>
      </c>
      <c r="L10" s="333">
        <f t="shared" si="0"/>
        <v>0.746</v>
      </c>
      <c r="M10" s="334" t="e">
        <f t="shared" ca="1" si="11"/>
        <v>#N/A</v>
      </c>
      <c r="N10" s="335" t="e">
        <f t="shared" si="1"/>
        <v>#N/A</v>
      </c>
      <c r="O10" s="381"/>
      <c r="P10" s="337"/>
      <c r="Q10" s="317" t="e">
        <f t="shared" ca="1" si="9"/>
        <v>#N/A</v>
      </c>
      <c r="R10" s="329"/>
      <c r="S10" s="329" t="e">
        <f t="shared" ca="1" si="2"/>
        <v>#N/A</v>
      </c>
      <c r="T10" s="385" t="e">
        <f t="shared" ca="1" si="3"/>
        <v>#N/A</v>
      </c>
      <c r="U10" s="330">
        <f t="shared" ca="1" si="10"/>
        <v>17.787952828256891</v>
      </c>
    </row>
    <row r="11" spans="1:34" x14ac:dyDescent="0.25">
      <c r="A11" s="410">
        <f>IF(Inputs!B17="","",IF(units=2,CONVERT(Inputs!B17,"ft","m"),Inputs!B17))</f>
        <v>6.2484000000000002</v>
      </c>
      <c r="B11" s="411">
        <f>IF(Inputs!G17="","",IF(units=2,CONVERT(Inputs!G17,"ft","m"),Inputs!G17))</f>
        <v>2.1335999999999999</v>
      </c>
      <c r="C11" s="409" t="str">
        <f>IF(A11="","",IF(OR(A11&lt;$B$3,Inputs!J17="No"),"Not_susc.","Susceptible"))</f>
        <v>Susceptible</v>
      </c>
      <c r="D11" s="354">
        <f ca="1">IF(OR(A11="",Method_BI=FALSE),NA(),'PB Liquefaction Initiation'!F14)</f>
        <v>21.708473911296679</v>
      </c>
      <c r="E11" s="295">
        <f ca="1">IF(OR(A11="",Method_BI=FALSE),NA(),'Det Liquefaction Initiation'!T14)</f>
        <v>0.19771613422431597</v>
      </c>
      <c r="F11" s="355">
        <f ca="1">IF('PB Liquefaction Initiation'!P14="",NA(),'Det Liquefaction Initiation'!S14)</f>
        <v>0.71468998628801128</v>
      </c>
      <c r="G11" s="295">
        <f t="shared" ca="1" si="4"/>
        <v>0.27664601158220065</v>
      </c>
      <c r="H11" s="295">
        <f t="shared" ca="1" si="5"/>
        <v>0.4247707730060597</v>
      </c>
      <c r="I11" s="295">
        <f t="shared" ca="1" si="6"/>
        <v>0.13098886049804351</v>
      </c>
      <c r="J11" s="295">
        <f t="shared" ca="1" si="7"/>
        <v>0.13098886049804351</v>
      </c>
      <c r="K11" s="356">
        <f t="shared" ca="1" si="8"/>
        <v>2.1503891182567014E-2</v>
      </c>
      <c r="L11" s="333">
        <f t="shared" si="0"/>
        <v>0.65286666666666671</v>
      </c>
      <c r="M11" s="334">
        <f t="shared" ca="1" si="11"/>
        <v>2.9953981127348997E-2</v>
      </c>
      <c r="N11" s="335">
        <f t="shared" si="1"/>
        <v>1.3929563200000001</v>
      </c>
      <c r="O11" s="336"/>
      <c r="P11" s="337"/>
      <c r="Q11" s="317">
        <f t="shared" ca="1" si="9"/>
        <v>0.20111958756934328</v>
      </c>
      <c r="R11" s="329"/>
      <c r="S11" s="329">
        <f t="shared" ca="1" si="2"/>
        <v>2.7295640191312115E-2</v>
      </c>
      <c r="T11" s="385">
        <f t="shared" ca="1" si="3"/>
        <v>5.241418012096517</v>
      </c>
      <c r="U11" s="330">
        <f t="shared" ca="1" si="10"/>
        <v>17.787952828256891</v>
      </c>
    </row>
    <row r="12" spans="1:34" x14ac:dyDescent="0.25">
      <c r="A12" s="410">
        <f>IF(Inputs!B18="","",IF(units=2,CONVERT(Inputs!B18,"ft","m"),Inputs!B18))</f>
        <v>7.7724000000000002</v>
      </c>
      <c r="B12" s="411">
        <f>IF(Inputs!G18="","",IF(units=2,CONVERT(Inputs!G18,"ft","m"),Inputs!G18))</f>
        <v>0.91439999999999999</v>
      </c>
      <c r="C12" s="409" t="str">
        <f>IF(A12="","",IF(OR(A12&lt;$B$3,Inputs!J18="No"),"Not_susc.","Susceptible"))</f>
        <v>Susceptible</v>
      </c>
      <c r="D12" s="354">
        <f ca="1">IF(OR(A12="",Method_BI=FALSE),NA(),'PB Liquefaction Initiation'!F15)</f>
        <v>29.14039966028972</v>
      </c>
      <c r="E12" s="295">
        <f ca="1">IF(OR(A12="",Method_BI=FALSE),NA(),'Det Liquefaction Initiation'!T15)</f>
        <v>0.37702115698943778</v>
      </c>
      <c r="F12" s="355">
        <f ca="1">IF('PB Liquefaction Initiation'!P15="",NA(),'Det Liquefaction Initiation'!S15)</f>
        <v>0.64883549021389109</v>
      </c>
      <c r="G12" s="295">
        <f t="shared" ca="1" si="4"/>
        <v>0.58107357361902523</v>
      </c>
      <c r="H12" s="295">
        <f t="shared" ca="1" si="5"/>
        <v>-3.1504410263074156E-2</v>
      </c>
      <c r="I12" s="295">
        <f t="shared" ca="1" si="6"/>
        <v>5.2269401579537765E-2</v>
      </c>
      <c r="J12" s="295">
        <f t="shared" ca="1" si="7"/>
        <v>5.2269401579537765E-2</v>
      </c>
      <c r="K12" s="356">
        <f t="shared" ca="1" si="8"/>
        <v>1.06968151001814E-2</v>
      </c>
      <c r="L12" s="333">
        <f t="shared" si="0"/>
        <v>0.56820000000000004</v>
      </c>
      <c r="M12" s="334">
        <f t="shared" ca="1" si="11"/>
        <v>5.5576595028256565E-3</v>
      </c>
      <c r="N12" s="335">
        <f t="shared" si="1"/>
        <v>0.51956208000000004</v>
      </c>
      <c r="O12" s="381"/>
      <c r="P12" s="337"/>
      <c r="Q12" s="317">
        <f t="shared" ca="1" si="9"/>
        <v>8.7069998877601973E-2</v>
      </c>
      <c r="R12" s="329"/>
      <c r="S12" s="329">
        <f t="shared" ca="1" si="2"/>
        <v>1.1817005939322261E-2</v>
      </c>
      <c r="T12" s="385">
        <f t="shared" ca="1" si="3"/>
        <v>0.97249232078246484</v>
      </c>
      <c r="U12" s="330">
        <f t="shared" ca="1" si="10"/>
        <v>12.546534816160372</v>
      </c>
    </row>
    <row r="13" spans="1:34" x14ac:dyDescent="0.25">
      <c r="A13" s="410">
        <f>IF(Inputs!B19="","",IF(units=2,CONVERT(Inputs!B19,"ft","m"),Inputs!B19))</f>
        <v>9.2964000000000002</v>
      </c>
      <c r="B13" s="411">
        <f>IF(Inputs!G19="","",IF(units=2,CONVERT(Inputs!G19,"ft","m"),Inputs!G19))</f>
        <v>2.1335999999999999</v>
      </c>
      <c r="C13" s="409" t="str">
        <f>IF(A13="","",IF(OR(A13&lt;$B$3,Inputs!J19="No"),"Not_susc.","Susceptible"))</f>
        <v>Susceptible</v>
      </c>
      <c r="D13" s="354">
        <f ca="1">IF(OR(A13="",Method_BI=FALSE),NA(),'PB Liquefaction Initiation'!F16)</f>
        <v>21.337630575889257</v>
      </c>
      <c r="E13" s="295">
        <f ca="1">IF(OR(A13="",Method_BI=FALSE),NA(),'Det Liquefaction Initiation'!T16)</f>
        <v>0.19309849493023551</v>
      </c>
      <c r="F13" s="355">
        <f ca="1">IF('PB Liquefaction Initiation'!P16="",NA(),'Det Liquefaction Initiation'!S16)</f>
        <v>0.71089441090745842</v>
      </c>
      <c r="G13" s="295">
        <f t="shared" ca="1" si="4"/>
        <v>0.27162753281988083</v>
      </c>
      <c r="H13" s="295">
        <f t="shared" ca="1" si="5"/>
        <v>0.44540247610388173</v>
      </c>
      <c r="I13" s="295">
        <f t="shared" ca="1" si="6"/>
        <v>0.13667589506107522</v>
      </c>
      <c r="J13" s="295">
        <f t="shared" ca="1" si="7"/>
        <v>0.13667589506107522</v>
      </c>
      <c r="K13" s="356">
        <f t="shared" ca="1" si="8"/>
        <v>2.1823385007261883E-2</v>
      </c>
      <c r="L13" s="333">
        <f t="shared" si="0"/>
        <v>0.48353333333333337</v>
      </c>
      <c r="M13" s="334">
        <f t="shared" ca="1" si="11"/>
        <v>2.2514460029739045E-2</v>
      </c>
      <c r="N13" s="335">
        <f t="shared" si="1"/>
        <v>1.03166672</v>
      </c>
      <c r="O13" s="394"/>
      <c r="P13" s="337"/>
      <c r="Q13" s="317">
        <f t="shared" ca="1" si="9"/>
        <v>0.15116851734253359</v>
      </c>
      <c r="R13" s="329"/>
      <c r="S13" s="329">
        <f t="shared" ca="1" si="2"/>
        <v>2.0516357991303313E-2</v>
      </c>
      <c r="T13" s="385">
        <f t="shared" ca="1" si="3"/>
        <v>3.9396331269220273</v>
      </c>
      <c r="U13" s="330">
        <f t="shared" ca="1" si="10"/>
        <v>11.574042495377908</v>
      </c>
    </row>
    <row r="14" spans="1:34" x14ac:dyDescent="0.25">
      <c r="A14" s="410">
        <f>IF(Inputs!B20="","",IF(units=2,CONVERT(Inputs!B20,"ft","m"),Inputs!B20))</f>
        <v>10.820399999999999</v>
      </c>
      <c r="B14" s="411">
        <f>IF(Inputs!G20="","",IF(units=2,CONVERT(Inputs!G20,"ft","m"),Inputs!G20))</f>
        <v>0.91439999999999999</v>
      </c>
      <c r="C14" s="409" t="str">
        <f>IF(A14="","",IF(OR(A14&lt;$B$3,Inputs!J20="No"),"Not_susc.","Susceptible"))</f>
        <v>Susceptible</v>
      </c>
      <c r="D14" s="354">
        <f ca="1">IF(OR(A14="",Method_BI=FALSE),NA(),'PB Liquefaction Initiation'!F17)</f>
        <v>9.4876390112066709</v>
      </c>
      <c r="E14" s="295">
        <f ca="1">IF(OR(A14="",Method_BI=FALSE),NA(),'Det Liquefaction Initiation'!T17)</f>
        <v>9.9021367248716616E-2</v>
      </c>
      <c r="F14" s="355">
        <f ca="1">IF('PB Liquefaction Initiation'!P17="",NA(),'Det Liquefaction Initiation'!S17)</f>
        <v>0.76226618833284232</v>
      </c>
      <c r="G14" s="295">
        <f t="shared" ca="1" si="4"/>
        <v>0.12990392170651952</v>
      </c>
      <c r="H14" s="295">
        <f t="shared" ca="1" si="5"/>
        <v>0.92394570935796927</v>
      </c>
      <c r="I14" s="295">
        <f t="shared" ca="1" si="6"/>
        <v>0.50080955459082255</v>
      </c>
      <c r="J14" s="295">
        <f t="shared" ca="1" si="7"/>
        <v>0.50080955459082255</v>
      </c>
      <c r="K14" s="356">
        <f t="shared" ca="1" si="8"/>
        <v>3.8509213533282551E-2</v>
      </c>
      <c r="L14" s="333">
        <f t="shared" si="0"/>
        <v>0.3988666666666667</v>
      </c>
      <c r="M14" s="334">
        <f t="shared" ca="1" si="11"/>
        <v>1.4045222073764614E-2</v>
      </c>
      <c r="N14" s="335">
        <f t="shared" si="1"/>
        <v>0.36472368000000005</v>
      </c>
      <c r="O14" s="381"/>
      <c r="P14" s="337"/>
      <c r="Q14" s="317">
        <f t="shared" ca="1" si="9"/>
        <v>0.220041812488979</v>
      </c>
      <c r="R14" s="329"/>
      <c r="S14" s="329">
        <f t="shared" ca="1" si="2"/>
        <v>2.9863735369248853E-2</v>
      </c>
      <c r="T14" s="385">
        <f t="shared" ca="1" si="3"/>
        <v>2.4576659659477036</v>
      </c>
      <c r="U14" s="330">
        <f t="shared" ca="1" si="10"/>
        <v>7.6344093684558807</v>
      </c>
    </row>
    <row r="15" spans="1:34" x14ac:dyDescent="0.25">
      <c r="A15" s="410">
        <f>IF(Inputs!B21="","",IF(units=2,CONVERT(Inputs!B21,"ft","m"),Inputs!B21))</f>
        <v>12.4968</v>
      </c>
      <c r="B15" s="411">
        <f>IF(Inputs!G21="","",IF(units=2,CONVERT(Inputs!G21,"ft","m"),Inputs!G21))</f>
        <v>2.4384000000000001</v>
      </c>
      <c r="C15" s="409" t="str">
        <f>IF(A15="","",IF(OR(A15&lt;$B$3,Inputs!J21="No"),"Not_susc.","Susceptible"))</f>
        <v>Not_susc.</v>
      </c>
      <c r="D15" s="354">
        <f ca="1">IF(OR(A15="",Method_BI=FALSE),NA(),'PB Liquefaction Initiation'!F18)</f>
        <v>7.3030476983682764</v>
      </c>
      <c r="E15" s="295">
        <f ca="1">IF(OR(A15="",Method_BI=FALSE),NA(),'Det Liquefaction Initiation'!T18)</f>
        <v>8.6556517762789179E-2</v>
      </c>
      <c r="F15" s="355" t="e">
        <f ca="1">IF('PB Liquefaction Initiation'!P18="",NA(),'Det Liquefaction Initiation'!S18)</f>
        <v>#N/A</v>
      </c>
      <c r="G15" s="295" t="e">
        <f t="shared" ca="1" si="4"/>
        <v>#N/A</v>
      </c>
      <c r="H15" s="295">
        <f t="shared" ca="1" si="5"/>
        <v>0.94727025978708057</v>
      </c>
      <c r="I15" s="295">
        <f t="shared" ca="1" si="6"/>
        <v>0.64188382601693383</v>
      </c>
      <c r="J15" s="295" t="e">
        <f t="shared" ca="1" si="7"/>
        <v>#N/A</v>
      </c>
      <c r="K15" s="356" t="e">
        <f t="shared" ca="1" si="8"/>
        <v>#N/A</v>
      </c>
      <c r="L15" s="333">
        <f t="shared" si="0"/>
        <v>0.3057333333333333</v>
      </c>
      <c r="M15" s="334" t="e">
        <f t="shared" ca="1" si="11"/>
        <v>#N/A</v>
      </c>
      <c r="N15" s="335" t="e">
        <f t="shared" si="1"/>
        <v>#N/A</v>
      </c>
      <c r="O15" s="394"/>
      <c r="P15" s="337"/>
      <c r="Q15" s="317" t="e">
        <f t="shared" ca="1" si="9"/>
        <v>#N/A</v>
      </c>
      <c r="R15" s="329"/>
      <c r="S15" s="329" t="e">
        <f t="shared" ca="1" si="2"/>
        <v>#N/A</v>
      </c>
      <c r="T15" s="385" t="e">
        <f t="shared" ca="1" si="3"/>
        <v>#N/A</v>
      </c>
      <c r="U15" s="330">
        <f t="shared" ca="1" si="10"/>
        <v>5.1767434025081771</v>
      </c>
    </row>
    <row r="16" spans="1:34" x14ac:dyDescent="0.25">
      <c r="A16" s="410">
        <f>IF(Inputs!B22="","",IF(units=2,CONVERT(Inputs!B22,"ft","m"),Inputs!B22))</f>
        <v>13.715999999999999</v>
      </c>
      <c r="B16" s="411">
        <f>IF(Inputs!G22="","",IF(units=2,CONVERT(Inputs!G22,"ft","m"),Inputs!G22))</f>
        <v>0.91439999999999999</v>
      </c>
      <c r="C16" s="409" t="str">
        <f>IF(A16="","",IF(OR(A16&lt;$B$3,Inputs!J22="No"),"Not_susc.","Susceptible"))</f>
        <v>Susceptible</v>
      </c>
      <c r="D16" s="354">
        <f ca="1">IF(OR(A16="",Method_BI=FALSE),NA(),'PB Liquefaction Initiation'!F19)</f>
        <v>1.6327566637818389</v>
      </c>
      <c r="E16" s="295">
        <f ca="1">IF(OR(A16="",Method_BI=FALSE),NA(),'Det Liquefaction Initiation'!T19)</f>
        <v>5.902391093603223E-2</v>
      </c>
      <c r="F16" s="355">
        <f ca="1">IF('PB Liquefaction Initiation'!P19="",NA(),'Det Liquefaction Initiation'!S19)</f>
        <v>0.73623162212844251</v>
      </c>
      <c r="G16" s="295">
        <f t="shared" ca="1" si="4"/>
        <v>8.0170301250297227E-2</v>
      </c>
      <c r="H16" s="295">
        <f t="shared" ca="1" si="5"/>
        <v>0.70141926619459649</v>
      </c>
      <c r="I16" s="295">
        <f t="shared" ca="1" si="6"/>
        <v>1.4082889447337894</v>
      </c>
      <c r="J16" s="295">
        <f t="shared" ca="1" si="7"/>
        <v>1.4082889447337894</v>
      </c>
      <c r="K16" s="356">
        <f t="shared" ca="1" si="8"/>
        <v>7.4887416952984315E-2</v>
      </c>
      <c r="L16" s="333">
        <f t="shared" si="0"/>
        <v>0.23799999999999999</v>
      </c>
      <c r="M16" s="334">
        <f t="shared" ca="1" si="11"/>
        <v>1.6297538866710509E-2</v>
      </c>
      <c r="N16" s="335">
        <f t="shared" si="1"/>
        <v>0.21762719999999999</v>
      </c>
      <c r="O16" s="336"/>
      <c r="P16" s="337"/>
      <c r="Q16" s="317">
        <f t="shared" ca="1" si="9"/>
        <v>0.25532810891179797</v>
      </c>
      <c r="R16" s="329"/>
      <c r="S16" s="329">
        <f t="shared" ca="1" si="2"/>
        <v>3.4652737089477449E-2</v>
      </c>
      <c r="T16" s="385">
        <f t="shared" ca="1" si="3"/>
        <v>2.851781651515636</v>
      </c>
      <c r="U16" s="330">
        <f t="shared" ca="1" si="10"/>
        <v>5.1767434025081771</v>
      </c>
    </row>
    <row r="17" spans="1:34" x14ac:dyDescent="0.25">
      <c r="A17" s="410">
        <f>IF(Inputs!B23="","",IF(units=2,CONVERT(Inputs!B23,"ft","m"),Inputs!B23))</f>
        <v>15.6972</v>
      </c>
      <c r="B17" s="411">
        <f>IF(Inputs!G23="","",IF(units=2,CONVERT(Inputs!G23,"ft","m"),Inputs!G23))</f>
        <v>2.1335999999999999</v>
      </c>
      <c r="C17" s="409" t="str">
        <f>IF(A17="","",IF(OR(A17&lt;$B$3,Inputs!J23="No"),"Not_susc.","Susceptible"))</f>
        <v>Susceptible</v>
      </c>
      <c r="D17" s="354">
        <f ca="1">IF(OR(A17="",Method_BI=FALSE),NA(),'PB Liquefaction Initiation'!F20)</f>
        <v>9.6599215676559655</v>
      </c>
      <c r="E17" s="295">
        <f ca="1">IF(OR(A17="",Method_BI=FALSE),NA(),'Det Liquefaction Initiation'!T20)</f>
        <v>0.1000440759527092</v>
      </c>
      <c r="F17" s="355">
        <f ca="1">IF('PB Liquefaction Initiation'!P20="",NA(),'Det Liquefaction Initiation'!S20)</f>
        <v>0.69886017471582129</v>
      </c>
      <c r="G17" s="295">
        <f t="shared" ca="1" si="4"/>
        <v>0.14315320799813824</v>
      </c>
      <c r="H17" s="295">
        <f t="shared" ca="1" si="5"/>
        <v>0.92075878701841929</v>
      </c>
      <c r="I17" s="295">
        <f t="shared" ca="1" si="6"/>
        <v>0.49132111759457353</v>
      </c>
      <c r="J17" s="295">
        <f t="shared" ca="1" si="7"/>
        <v>0.49132111759457353</v>
      </c>
      <c r="K17" s="356">
        <f t="shared" ca="1" si="8"/>
        <v>3.8115630712108904E-2</v>
      </c>
      <c r="L17" s="333">
        <f t="shared" si="0"/>
        <v>0.12793333333333334</v>
      </c>
      <c r="M17" s="334">
        <f t="shared" ca="1" si="11"/>
        <v>1.0403987672669021E-2</v>
      </c>
      <c r="N17" s="335">
        <f t="shared" si="1"/>
        <v>0.27295856000000002</v>
      </c>
      <c r="O17" s="336"/>
      <c r="P17" s="337"/>
      <c r="Q17" s="317">
        <f t="shared" ca="1" si="9"/>
        <v>6.9855345802206301E-2</v>
      </c>
      <c r="R17" s="329"/>
      <c r="S17" s="329">
        <f t="shared" ca="1" si="2"/>
        <v>9.4806597780998734E-3</v>
      </c>
      <c r="T17" s="385">
        <f t="shared" ca="1" si="3"/>
        <v>1.82051421322985</v>
      </c>
      <c r="U17" s="330">
        <f t="shared" ca="1" si="10"/>
        <v>2.3249617509925411</v>
      </c>
    </row>
    <row r="18" spans="1:34" x14ac:dyDescent="0.25">
      <c r="A18" s="410">
        <f>IF(Inputs!B24="","",IF(units=2,CONVERT(Inputs!B24,"ft","m"),Inputs!B24))</f>
        <v>17.3736</v>
      </c>
      <c r="B18" s="411">
        <f>IF(Inputs!G24="","",IF(units=2,CONVERT(Inputs!G24,"ft","m"),Inputs!G24))</f>
        <v>1.2192000000000001</v>
      </c>
      <c r="C18" s="409" t="str">
        <f>IF(A18="","",IF(OR(A18&lt;$B$3,Inputs!J24="No"),"Not_susc.","Susceptible"))</f>
        <v>Susceptible</v>
      </c>
      <c r="D18" s="354">
        <f ca="1">IF(OR(A18="",Method_BI=FALSE),NA(),'PB Liquefaction Initiation'!F21)</f>
        <v>2.3758590121854533</v>
      </c>
      <c r="E18" s="295">
        <f ca="1">IF(OR(A18="",Method_BI=FALSE),NA(),'Det Liquefaction Initiation'!T21)</f>
        <v>6.2190539434566962E-2</v>
      </c>
      <c r="F18" s="355">
        <f ca="1">IF('PB Liquefaction Initiation'!P21="",NA(),'Det Liquefaction Initiation'!S21)</f>
        <v>0.68217702333422126</v>
      </c>
      <c r="G18" s="295">
        <f t="shared" ca="1" si="4"/>
        <v>9.1164811049488759E-2</v>
      </c>
      <c r="H18" s="295">
        <f t="shared" ca="1" si="5"/>
        <v>0.7866920297876151</v>
      </c>
      <c r="I18" s="295">
        <f t="shared" ca="1" si="6"/>
        <v>1.2357410117235026</v>
      </c>
      <c r="J18" s="295">
        <f t="shared" ca="1" si="7"/>
        <v>1.2357410117235026</v>
      </c>
      <c r="K18" s="356">
        <f t="shared" ca="1" si="8"/>
        <v>6.7946573998271212E-2</v>
      </c>
      <c r="L18" s="333">
        <f t="shared" si="0"/>
        <v>3.4800000000000053E-2</v>
      </c>
      <c r="M18" s="334">
        <f t="shared" ca="1" si="11"/>
        <v>2.8828481130504951E-3</v>
      </c>
      <c r="N18" s="335">
        <f t="shared" si="1"/>
        <v>4.2428160000000069E-2</v>
      </c>
      <c r="O18" s="336"/>
      <c r="P18" s="337"/>
      <c r="Q18" s="317">
        <f t="shared" ca="1" si="9"/>
        <v>3.3873465328343316E-2</v>
      </c>
      <c r="R18" s="329"/>
      <c r="S18" s="329">
        <f t="shared" ca="1" si="2"/>
        <v>4.5972544634249341E-3</v>
      </c>
      <c r="T18" s="385">
        <f t="shared" ca="1" si="3"/>
        <v>0.50444753776269124</v>
      </c>
      <c r="U18" s="330">
        <f t="shared" ca="1" si="10"/>
        <v>0.50444753776269124</v>
      </c>
    </row>
    <row r="19" spans="1:34" x14ac:dyDescent="0.25">
      <c r="A19" s="410" t="str">
        <f>IF(Inputs!B25="","",IF(units=2,CONVERT(Inputs!B25,"ft","m"),Inputs!B25))</f>
        <v/>
      </c>
      <c r="B19" s="411" t="str">
        <f>IF(Inputs!G25="","",IF(units=2,CONVERT(Inputs!G25,"ft","m"),Inputs!G25))</f>
        <v/>
      </c>
      <c r="C19" s="409" t="str">
        <f>IF(A19="","",IF(OR(A19&lt;$B$3,Inputs!J25="No"),"Not_susc.","Susceptible"))</f>
        <v/>
      </c>
      <c r="D19" s="354" t="e">
        <f>IF(OR(A19="",Method_BI=FALSE),NA(),'PB Liquefaction Initiation'!F22)</f>
        <v>#N/A</v>
      </c>
      <c r="E19" s="295" t="e">
        <f>IF(OR(A19="",Method_BI=FALSE),NA(),'Det Liquefaction Initiation'!T22)</f>
        <v>#N/A</v>
      </c>
      <c r="F19" s="355" t="e">
        <f>IF('PB Liquefaction Initiation'!P22="",NA(),'Det Liquefaction Initiation'!S22)</f>
        <v>#N/A</v>
      </c>
      <c r="G19" s="295" t="e">
        <f t="shared" si="4"/>
        <v>#N/A</v>
      </c>
      <c r="H19" s="295" t="e">
        <f t="shared" si="5"/>
        <v>#N/A</v>
      </c>
      <c r="I19" s="295" t="e">
        <f t="shared" si="6"/>
        <v>#N/A</v>
      </c>
      <c r="J19" s="295" t="e">
        <f t="shared" si="7"/>
        <v>#N/A</v>
      </c>
      <c r="K19" s="356" t="e">
        <f t="shared" si="8"/>
        <v>#N/A</v>
      </c>
      <c r="L19" s="333" t="e">
        <f t="shared" si="0"/>
        <v>#N/A</v>
      </c>
      <c r="M19" s="334" t="e">
        <f t="shared" si="11"/>
        <v>#N/A</v>
      </c>
      <c r="N19" s="335" t="e">
        <f t="shared" si="1"/>
        <v>#N/A</v>
      </c>
      <c r="O19" s="336"/>
      <c r="P19" s="337"/>
      <c r="Q19" s="317" t="e">
        <f t="shared" si="9"/>
        <v>#N/A</v>
      </c>
      <c r="R19" s="329"/>
      <c r="S19" s="329" t="e">
        <f t="shared" si="2"/>
        <v>#N/A</v>
      </c>
      <c r="T19" s="385" t="e">
        <f t="shared" si="3"/>
        <v>#N/A</v>
      </c>
      <c r="U19" s="330">
        <f t="shared" si="10"/>
        <v>0</v>
      </c>
    </row>
    <row r="20" spans="1:34" x14ac:dyDescent="0.25">
      <c r="A20" s="410" t="str">
        <f>IF(Inputs!B26="","",IF(units=2,CONVERT(Inputs!B26,"ft","m"),Inputs!B26))</f>
        <v/>
      </c>
      <c r="B20" s="411" t="str">
        <f>IF(Inputs!G26="","",IF(units=2,CONVERT(Inputs!G26,"ft","m"),Inputs!G26))</f>
        <v/>
      </c>
      <c r="C20" s="409" t="str">
        <f>IF(A20="","",IF(OR(A20&lt;$B$3,Inputs!J26="No"),"Not_susc.","Susceptible"))</f>
        <v/>
      </c>
      <c r="D20" s="354" t="e">
        <f>IF(OR(A20="",Method_BI=FALSE),NA(),'PB Liquefaction Initiation'!F23)</f>
        <v>#N/A</v>
      </c>
      <c r="E20" s="295" t="e">
        <f>IF(OR(A20="",Method_BI=FALSE),NA(),'Det Liquefaction Initiation'!T23)</f>
        <v>#N/A</v>
      </c>
      <c r="F20" s="355" t="e">
        <f>IF('PB Liquefaction Initiation'!P23="",NA(),'Det Liquefaction Initiation'!S23)</f>
        <v>#N/A</v>
      </c>
      <c r="G20" s="295" t="e">
        <f t="shared" si="4"/>
        <v>#N/A</v>
      </c>
      <c r="H20" s="295" t="e">
        <f t="shared" si="5"/>
        <v>#N/A</v>
      </c>
      <c r="I20" s="295" t="e">
        <f t="shared" si="6"/>
        <v>#N/A</v>
      </c>
      <c r="J20" s="295" t="e">
        <f t="shared" si="7"/>
        <v>#N/A</v>
      </c>
      <c r="K20" s="356" t="e">
        <f t="shared" si="8"/>
        <v>#N/A</v>
      </c>
      <c r="L20" s="333" t="e">
        <f t="shared" si="0"/>
        <v>#N/A</v>
      </c>
      <c r="M20" s="334" t="e">
        <f t="shared" si="11"/>
        <v>#N/A</v>
      </c>
      <c r="N20" s="335" t="e">
        <f t="shared" si="1"/>
        <v>#N/A</v>
      </c>
      <c r="O20" s="336"/>
      <c r="P20" s="337"/>
      <c r="Q20" s="317" t="e">
        <f t="shared" si="9"/>
        <v>#N/A</v>
      </c>
      <c r="R20" s="329"/>
      <c r="S20" s="329" t="e">
        <f t="shared" si="2"/>
        <v>#N/A</v>
      </c>
      <c r="T20" s="385" t="e">
        <f t="shared" si="3"/>
        <v>#N/A</v>
      </c>
      <c r="U20" s="330">
        <f t="shared" si="10"/>
        <v>0</v>
      </c>
    </row>
    <row r="21" spans="1:34" x14ac:dyDescent="0.25">
      <c r="A21" s="410" t="str">
        <f>IF(Inputs!B27="","",IF(units=2,CONVERT(Inputs!B27,"ft","m"),Inputs!B27))</f>
        <v/>
      </c>
      <c r="B21" s="411" t="str">
        <f>IF(Inputs!G27="","",IF(units=2,CONVERT(Inputs!G27,"ft","m"),Inputs!G27))</f>
        <v/>
      </c>
      <c r="C21" s="409" t="str">
        <f>IF(A21="","",IF(OR(A21&lt;$B$3,Inputs!J27="No"),"Not_susc.","Susceptible"))</f>
        <v/>
      </c>
      <c r="D21" s="354" t="e">
        <f>IF(OR(A21="",Method_BI=FALSE),NA(),'PB Liquefaction Initiation'!F24)</f>
        <v>#N/A</v>
      </c>
      <c r="E21" s="295" t="e">
        <f>IF(OR(A21="",Method_BI=FALSE),NA(),'Det Liquefaction Initiation'!T24)</f>
        <v>#N/A</v>
      </c>
      <c r="F21" s="355" t="e">
        <f>IF('PB Liquefaction Initiation'!P24="",NA(),'Det Liquefaction Initiation'!S24)</f>
        <v>#N/A</v>
      </c>
      <c r="G21" s="295" t="e">
        <f t="shared" si="4"/>
        <v>#N/A</v>
      </c>
      <c r="H21" s="295" t="e">
        <f t="shared" si="5"/>
        <v>#N/A</v>
      </c>
      <c r="I21" s="295" t="e">
        <f t="shared" si="6"/>
        <v>#N/A</v>
      </c>
      <c r="J21" s="295" t="e">
        <f t="shared" si="7"/>
        <v>#N/A</v>
      </c>
      <c r="K21" s="356" t="e">
        <f t="shared" si="8"/>
        <v>#N/A</v>
      </c>
      <c r="L21" s="333" t="e">
        <f t="shared" si="0"/>
        <v>#N/A</v>
      </c>
      <c r="M21" s="334" t="e">
        <f t="shared" si="11"/>
        <v>#N/A</v>
      </c>
      <c r="N21" s="335" t="e">
        <f t="shared" si="1"/>
        <v>#N/A</v>
      </c>
      <c r="O21" s="336"/>
      <c r="P21" s="337"/>
      <c r="Q21" s="317" t="e">
        <f t="shared" si="9"/>
        <v>#N/A</v>
      </c>
      <c r="R21" s="329"/>
      <c r="S21" s="329" t="e">
        <f t="shared" si="2"/>
        <v>#N/A</v>
      </c>
      <c r="T21" s="385" t="e">
        <f t="shared" si="3"/>
        <v>#N/A</v>
      </c>
      <c r="U21" s="330">
        <f t="shared" si="10"/>
        <v>0</v>
      </c>
    </row>
    <row r="22" spans="1:34" x14ac:dyDescent="0.25">
      <c r="A22" s="410" t="str">
        <f>IF(Inputs!B28="","",IF(units=2,CONVERT(Inputs!B28,"ft","m"),Inputs!B28))</f>
        <v/>
      </c>
      <c r="B22" s="411" t="str">
        <f>IF(Inputs!G28="","",IF(units=2,CONVERT(Inputs!G28,"ft","m"),Inputs!G28))</f>
        <v/>
      </c>
      <c r="C22" s="409" t="str">
        <f>IF(A22="","",IF(OR(A22&lt;$B$3,Inputs!J28="No"),"Not_susc.","Susceptible"))</f>
        <v/>
      </c>
      <c r="D22" s="354" t="e">
        <f>IF(OR(A22="",Method_BI=FALSE),NA(),'PB Liquefaction Initiation'!F25)</f>
        <v>#N/A</v>
      </c>
      <c r="E22" s="295" t="e">
        <f>IF(OR(A22="",Method_BI=FALSE),NA(),'Det Liquefaction Initiation'!T25)</f>
        <v>#N/A</v>
      </c>
      <c r="F22" s="355" t="e">
        <f>IF('PB Liquefaction Initiation'!P25="",NA(),'Det Liquefaction Initiation'!S25)</f>
        <v>#N/A</v>
      </c>
      <c r="G22" s="295" t="e">
        <f t="shared" si="4"/>
        <v>#N/A</v>
      </c>
      <c r="H22" s="295" t="e">
        <f t="shared" si="5"/>
        <v>#N/A</v>
      </c>
      <c r="I22" s="295" t="e">
        <f t="shared" si="6"/>
        <v>#N/A</v>
      </c>
      <c r="J22" s="295" t="e">
        <f t="shared" si="7"/>
        <v>#N/A</v>
      </c>
      <c r="K22" s="356" t="e">
        <f t="shared" si="8"/>
        <v>#N/A</v>
      </c>
      <c r="L22" s="333" t="e">
        <f t="shared" si="0"/>
        <v>#N/A</v>
      </c>
      <c r="M22" s="334" t="e">
        <f t="shared" si="11"/>
        <v>#N/A</v>
      </c>
      <c r="N22" s="335" t="e">
        <f t="shared" si="1"/>
        <v>#N/A</v>
      </c>
      <c r="O22" s="336"/>
      <c r="P22" s="337"/>
      <c r="Q22" s="317" t="e">
        <f t="shared" si="9"/>
        <v>#N/A</v>
      </c>
      <c r="R22" s="329"/>
      <c r="S22" s="329" t="e">
        <f t="shared" si="2"/>
        <v>#N/A</v>
      </c>
      <c r="T22" s="385" t="e">
        <f t="shared" si="3"/>
        <v>#N/A</v>
      </c>
      <c r="U22" s="330">
        <f t="shared" si="10"/>
        <v>0</v>
      </c>
    </row>
    <row r="23" spans="1:34" x14ac:dyDescent="0.25">
      <c r="A23" s="410" t="str">
        <f>IF(Inputs!B29="","",IF(units=2,CONVERT(Inputs!B29,"ft","m"),Inputs!B29))</f>
        <v/>
      </c>
      <c r="B23" s="411" t="str">
        <f>IF(Inputs!G29="","",IF(units=2,CONVERT(Inputs!G29,"ft","m"),Inputs!G29))</f>
        <v/>
      </c>
      <c r="C23" s="409" t="str">
        <f>IF(A23="","",IF(OR(A23&lt;$B$3,Inputs!J29="No"),"Not_susc.","Susceptible"))</f>
        <v/>
      </c>
      <c r="D23" s="354" t="e">
        <f>IF(OR(A23="",Method_BI=FALSE),NA(),'PB Liquefaction Initiation'!F26)</f>
        <v>#N/A</v>
      </c>
      <c r="E23" s="295" t="e">
        <f>IF(OR(A23="",Method_BI=FALSE),NA(),'Det Liquefaction Initiation'!T26)</f>
        <v>#N/A</v>
      </c>
      <c r="F23" s="355" t="e">
        <f>IF('PB Liquefaction Initiation'!P26="",NA(),'Det Liquefaction Initiation'!S26)</f>
        <v>#N/A</v>
      </c>
      <c r="G23" s="295" t="e">
        <f t="shared" si="4"/>
        <v>#N/A</v>
      </c>
      <c r="H23" s="295" t="e">
        <f t="shared" si="5"/>
        <v>#N/A</v>
      </c>
      <c r="I23" s="295" t="e">
        <f t="shared" si="6"/>
        <v>#N/A</v>
      </c>
      <c r="J23" s="295" t="e">
        <f t="shared" si="7"/>
        <v>#N/A</v>
      </c>
      <c r="K23" s="356" t="e">
        <f t="shared" si="8"/>
        <v>#N/A</v>
      </c>
      <c r="L23" s="333" t="e">
        <f t="shared" si="0"/>
        <v>#N/A</v>
      </c>
      <c r="M23" s="334" t="e">
        <f t="shared" si="11"/>
        <v>#N/A</v>
      </c>
      <c r="N23" s="335" t="e">
        <f t="shared" si="1"/>
        <v>#N/A</v>
      </c>
      <c r="O23" s="336"/>
      <c r="P23" s="337"/>
      <c r="Q23" s="317" t="e">
        <f t="shared" si="9"/>
        <v>#N/A</v>
      </c>
      <c r="R23" s="329"/>
      <c r="S23" s="329" t="e">
        <f t="shared" si="2"/>
        <v>#N/A</v>
      </c>
      <c r="T23" s="385" t="e">
        <f t="shared" si="3"/>
        <v>#N/A</v>
      </c>
      <c r="U23" s="330">
        <f t="shared" si="10"/>
        <v>0</v>
      </c>
    </row>
    <row r="24" spans="1:34" x14ac:dyDescent="0.25">
      <c r="A24" s="410" t="str">
        <f>IF(Inputs!B30="","",IF(units=2,CONVERT(Inputs!B30,"ft","m"),Inputs!B30))</f>
        <v/>
      </c>
      <c r="B24" s="411" t="str">
        <f>IF(Inputs!G30="","",IF(units=2,CONVERT(Inputs!G30,"ft","m"),Inputs!G30))</f>
        <v/>
      </c>
      <c r="C24" s="409" t="str">
        <f>IF(A24="","",IF(OR(A24&lt;$B$3,Inputs!J30="No"),"Not_susc.","Susceptible"))</f>
        <v/>
      </c>
      <c r="D24" s="354" t="e">
        <f>IF(OR(A24="",Method_BI=FALSE),NA(),'PB Liquefaction Initiation'!F27)</f>
        <v>#N/A</v>
      </c>
      <c r="E24" s="295" t="e">
        <f>IF(OR(A24="",Method_BI=FALSE),NA(),'Det Liquefaction Initiation'!T27)</f>
        <v>#N/A</v>
      </c>
      <c r="F24" s="355" t="e">
        <f>IF('PB Liquefaction Initiation'!P27="",NA(),'Det Liquefaction Initiation'!S27)</f>
        <v>#N/A</v>
      </c>
      <c r="G24" s="295" t="e">
        <f t="shared" si="4"/>
        <v>#N/A</v>
      </c>
      <c r="H24" s="295" t="e">
        <f t="shared" si="5"/>
        <v>#N/A</v>
      </c>
      <c r="I24" s="295" t="e">
        <f t="shared" si="6"/>
        <v>#N/A</v>
      </c>
      <c r="J24" s="295" t="e">
        <f t="shared" si="7"/>
        <v>#N/A</v>
      </c>
      <c r="K24" s="356" t="e">
        <f t="shared" si="8"/>
        <v>#N/A</v>
      </c>
      <c r="L24" s="333" t="e">
        <f t="shared" si="0"/>
        <v>#N/A</v>
      </c>
      <c r="M24" s="334" t="e">
        <f t="shared" si="11"/>
        <v>#N/A</v>
      </c>
      <c r="N24" s="335" t="e">
        <f t="shared" si="1"/>
        <v>#N/A</v>
      </c>
      <c r="O24" s="336"/>
      <c r="P24" s="337"/>
      <c r="Q24" s="317" t="e">
        <f t="shared" si="9"/>
        <v>#N/A</v>
      </c>
      <c r="R24" s="329"/>
      <c r="S24" s="329" t="e">
        <f t="shared" si="2"/>
        <v>#N/A</v>
      </c>
      <c r="T24" s="385" t="e">
        <f t="shared" si="3"/>
        <v>#N/A</v>
      </c>
      <c r="U24" s="330">
        <f t="shared" si="10"/>
        <v>0</v>
      </c>
    </row>
    <row r="25" spans="1:34" x14ac:dyDescent="0.25">
      <c r="A25" s="410" t="str">
        <f>IF(Inputs!B31="","",IF(units=2,CONVERT(Inputs!B31,"ft","m"),Inputs!B31))</f>
        <v/>
      </c>
      <c r="B25" s="411" t="str">
        <f>IF(Inputs!G31="","",IF(units=2,CONVERT(Inputs!G31,"ft","m"),Inputs!G31))</f>
        <v/>
      </c>
      <c r="C25" s="409" t="str">
        <f>IF(A25="","",IF(OR(A25&lt;$B$3,Inputs!J31="No"),"Not_susc.","Susceptible"))</f>
        <v/>
      </c>
      <c r="D25" s="354" t="e">
        <f>IF(OR(A25="",Method_BI=FALSE),NA(),'PB Liquefaction Initiation'!F28)</f>
        <v>#N/A</v>
      </c>
      <c r="E25" s="295" t="e">
        <f>IF(OR(A25="",Method_BI=FALSE),NA(),'Det Liquefaction Initiation'!T28)</f>
        <v>#N/A</v>
      </c>
      <c r="F25" s="355" t="e">
        <f>IF('PB Liquefaction Initiation'!P28="",NA(),'Det Liquefaction Initiation'!S28)</f>
        <v>#N/A</v>
      </c>
      <c r="G25" s="295" t="e">
        <f t="shared" si="4"/>
        <v>#N/A</v>
      </c>
      <c r="H25" s="295" t="e">
        <f t="shared" si="5"/>
        <v>#N/A</v>
      </c>
      <c r="I25" s="295" t="e">
        <f t="shared" si="6"/>
        <v>#N/A</v>
      </c>
      <c r="J25" s="295" t="e">
        <f t="shared" si="7"/>
        <v>#N/A</v>
      </c>
      <c r="K25" s="356" t="e">
        <f t="shared" si="8"/>
        <v>#N/A</v>
      </c>
      <c r="L25" s="333" t="e">
        <f t="shared" si="0"/>
        <v>#N/A</v>
      </c>
      <c r="M25" s="334" t="e">
        <f t="shared" si="11"/>
        <v>#N/A</v>
      </c>
      <c r="N25" s="335" t="e">
        <f t="shared" si="1"/>
        <v>#N/A</v>
      </c>
      <c r="O25" s="336"/>
      <c r="P25" s="337"/>
      <c r="Q25" s="317" t="e">
        <f t="shared" si="9"/>
        <v>#N/A</v>
      </c>
      <c r="R25" s="329"/>
      <c r="S25" s="329" t="e">
        <f t="shared" si="2"/>
        <v>#N/A</v>
      </c>
      <c r="T25" s="385" t="e">
        <f t="shared" si="3"/>
        <v>#N/A</v>
      </c>
      <c r="U25" s="330">
        <f t="shared" si="10"/>
        <v>0</v>
      </c>
    </row>
    <row r="26" spans="1:34" ht="16.5" thickBot="1" x14ac:dyDescent="0.3">
      <c r="A26" s="412" t="str">
        <f>IF(Inputs!B32="","",IF(units=2,CONVERT(Inputs!B32,"ft","m"),Inputs!B32))</f>
        <v/>
      </c>
      <c r="B26" s="413" t="str">
        <f>IF(Inputs!G32="","",IF(units=2,CONVERT(Inputs!G32,"ft","m"),Inputs!G32))</f>
        <v/>
      </c>
      <c r="C26" s="414" t="str">
        <f>IF(A26="","",IF(OR(A26&lt;$B$3,Inputs!J32="No"),"Not_susc.","Susceptible"))</f>
        <v/>
      </c>
      <c r="D26" s="357" t="e">
        <f>IF(OR(A26="",Method_BI=FALSE),NA(),'PB Liquefaction Initiation'!F29)</f>
        <v>#N/A</v>
      </c>
      <c r="E26" s="358" t="e">
        <f>IF(OR(A26="",Method_BI=FALSE),NA(),'Det Liquefaction Initiation'!T29)</f>
        <v>#N/A</v>
      </c>
      <c r="F26" s="359" t="e">
        <f>IF('PB Liquefaction Initiation'!P29="",NA(),'Det Liquefaction Initiation'!S29)</f>
        <v>#N/A</v>
      </c>
      <c r="G26" s="358" t="e">
        <f t="shared" si="4"/>
        <v>#N/A</v>
      </c>
      <c r="H26" s="358" t="e">
        <f t="shared" si="5"/>
        <v>#N/A</v>
      </c>
      <c r="I26" s="358" t="e">
        <f t="shared" si="6"/>
        <v>#N/A</v>
      </c>
      <c r="J26" s="358" t="e">
        <f t="shared" si="7"/>
        <v>#N/A</v>
      </c>
      <c r="K26" s="360" t="e">
        <f t="shared" si="8"/>
        <v>#N/A</v>
      </c>
      <c r="L26" s="338" t="e">
        <f t="shared" si="0"/>
        <v>#N/A</v>
      </c>
      <c r="M26" s="339" t="e">
        <f t="shared" si="11"/>
        <v>#N/A</v>
      </c>
      <c r="N26" s="340" t="e">
        <f t="shared" si="1"/>
        <v>#N/A</v>
      </c>
      <c r="O26" s="341"/>
      <c r="P26" s="342"/>
      <c r="Q26" s="318" t="e">
        <f t="shared" si="9"/>
        <v>#N/A</v>
      </c>
      <c r="R26" s="331"/>
      <c r="S26" s="331" t="e">
        <f t="shared" si="2"/>
        <v>#N/A</v>
      </c>
      <c r="T26" s="386" t="e">
        <f t="shared" si="3"/>
        <v>#N/A</v>
      </c>
      <c r="U26" s="388">
        <f>IF(OR(C26="",C26="Not_susc."),0,T26)</f>
        <v>0</v>
      </c>
    </row>
    <row r="27" spans="1:34" x14ac:dyDescent="0.25">
      <c r="A27" s="43"/>
      <c r="B27" s="43"/>
      <c r="C27" s="43"/>
      <c r="D27" s="43"/>
      <c r="E27" s="43"/>
      <c r="F27" s="43"/>
      <c r="G27" s="43"/>
      <c r="H27" s="43"/>
      <c r="I27" s="42"/>
      <c r="J27" s="42"/>
      <c r="K27" s="42"/>
      <c r="L27" s="42"/>
      <c r="M27" s="42"/>
      <c r="N27" s="42"/>
      <c r="O27" s="42"/>
      <c r="P27" s="42"/>
      <c r="Q27" s="42"/>
      <c r="R27" s="42"/>
      <c r="S27" s="42"/>
      <c r="T27" s="42"/>
      <c r="U27" s="42"/>
      <c r="V27" s="42"/>
      <c r="W27" s="42"/>
      <c r="X27" s="42"/>
      <c r="Y27" s="42"/>
      <c r="Z27" s="43"/>
      <c r="AA27" s="43"/>
      <c r="AB27" s="43"/>
      <c r="AC27" s="43"/>
      <c r="AD27" s="42"/>
      <c r="AE27" s="42"/>
      <c r="AF27" s="42"/>
      <c r="AG27" s="42"/>
      <c r="AH27" s="43"/>
    </row>
    <row r="28" spans="1:34" x14ac:dyDescent="0.25">
      <c r="A28" s="304"/>
      <c r="B28" s="304"/>
      <c r="C28" s="304"/>
      <c r="D28" s="304"/>
      <c r="E28" s="304"/>
      <c r="F28" s="304"/>
      <c r="G28" s="304"/>
      <c r="H28" s="304"/>
      <c r="I28" s="304"/>
      <c r="J28" s="304"/>
      <c r="K28" s="304"/>
      <c r="L28" s="304"/>
      <c r="M28" s="304"/>
      <c r="N28" s="304"/>
      <c r="O28" s="304"/>
      <c r="P28" s="304"/>
      <c r="Q28" s="304"/>
      <c r="R28" s="304"/>
      <c r="S28" s="304"/>
      <c r="T28" s="304"/>
      <c r="U28" s="304"/>
      <c r="V28" s="304"/>
      <c r="W28" s="323"/>
      <c r="X28" s="323"/>
      <c r="Y28" s="323"/>
      <c r="Z28" s="377"/>
      <c r="AA28" s="377"/>
      <c r="AB28" s="377"/>
      <c r="AC28" s="377"/>
      <c r="AD28" s="323"/>
      <c r="AE28" s="323"/>
      <c r="AF28" s="323"/>
      <c r="AG28" s="323"/>
      <c r="AH28" s="377"/>
    </row>
    <row r="29" spans="1:34" x14ac:dyDescent="0.25">
      <c r="A29" s="34" t="s">
        <v>268</v>
      </c>
      <c r="B29" s="34"/>
      <c r="C29" s="34"/>
      <c r="D29" s="43"/>
      <c r="E29" s="43"/>
      <c r="F29" s="43"/>
      <c r="G29" s="43"/>
      <c r="H29" s="43"/>
      <c r="I29" s="42"/>
      <c r="J29" s="42"/>
      <c r="K29" s="42"/>
      <c r="L29" s="42"/>
      <c r="M29" s="42"/>
      <c r="N29" s="42"/>
      <c r="O29" s="42"/>
      <c r="P29" s="42"/>
      <c r="Q29" s="42"/>
      <c r="R29" s="42"/>
      <c r="S29" s="42"/>
      <c r="T29" s="42"/>
      <c r="U29" s="42"/>
      <c r="V29" s="42"/>
      <c r="W29" s="42"/>
      <c r="X29" s="42"/>
      <c r="Y29" s="42"/>
      <c r="Z29" s="43"/>
      <c r="AA29" s="43"/>
      <c r="AB29" s="43"/>
      <c r="AC29" s="43"/>
      <c r="AD29" s="42"/>
      <c r="AE29" s="42"/>
      <c r="AF29" s="42"/>
      <c r="AG29" s="42"/>
      <c r="AH29" s="43"/>
    </row>
    <row r="30" spans="1:34" ht="16.5" thickBot="1" x14ac:dyDescent="0.3">
      <c r="D30" s="43"/>
      <c r="E30" s="43"/>
      <c r="F30" s="43"/>
      <c r="G30" s="43"/>
      <c r="I30" s="42"/>
      <c r="J30" s="42"/>
      <c r="K30" s="42"/>
      <c r="Y30" s="383"/>
      <c r="Z30" s="80"/>
      <c r="AA30" s="80"/>
      <c r="AB30" s="80"/>
      <c r="AC30" s="80"/>
      <c r="AD30" s="42"/>
      <c r="AE30" s="42"/>
      <c r="AF30" s="42"/>
      <c r="AG30" s="42"/>
      <c r="AH30" s="43"/>
    </row>
    <row r="31" spans="1:34" ht="16.5" thickBot="1" x14ac:dyDescent="0.3">
      <c r="A31" s="43"/>
      <c r="B31" s="43"/>
      <c r="C31" s="43"/>
      <c r="D31" s="627" t="s">
        <v>313</v>
      </c>
      <c r="E31" s="628"/>
      <c r="F31" s="628"/>
      <c r="G31" s="629"/>
      <c r="I31" s="42"/>
      <c r="J31" s="42"/>
      <c r="K31" s="42"/>
      <c r="L31" s="627" t="s">
        <v>290</v>
      </c>
      <c r="M31" s="628"/>
      <c r="N31" s="628"/>
      <c r="O31" s="628"/>
      <c r="P31" s="629"/>
      <c r="Q31" s="638" t="s">
        <v>297</v>
      </c>
      <c r="R31" s="639"/>
      <c r="S31" s="639"/>
      <c r="T31" s="639"/>
      <c r="U31" s="640"/>
    </row>
    <row r="32" spans="1:34" ht="18" x14ac:dyDescent="0.25">
      <c r="A32" s="361" t="s">
        <v>250</v>
      </c>
      <c r="B32" s="382" t="s">
        <v>12</v>
      </c>
      <c r="C32" s="380" t="s">
        <v>234</v>
      </c>
      <c r="D32" s="310" t="s">
        <v>260</v>
      </c>
      <c r="E32" s="294" t="s">
        <v>275</v>
      </c>
      <c r="F32" s="294" t="s">
        <v>276</v>
      </c>
      <c r="G32" s="311" t="s">
        <v>254</v>
      </c>
      <c r="I32" s="296"/>
      <c r="J32" s="296"/>
      <c r="K32" s="296"/>
      <c r="L32" s="327" t="s">
        <v>285</v>
      </c>
      <c r="M32" s="307" t="s">
        <v>286</v>
      </c>
      <c r="N32" s="307" t="s">
        <v>287</v>
      </c>
      <c r="O32" s="294" t="s">
        <v>288</v>
      </c>
      <c r="P32" s="328" t="s">
        <v>289</v>
      </c>
      <c r="Q32" s="327" t="s">
        <v>295</v>
      </c>
      <c r="R32" s="307" t="s">
        <v>293</v>
      </c>
      <c r="S32" s="307" t="s">
        <v>294</v>
      </c>
      <c r="T32" s="307" t="s">
        <v>296</v>
      </c>
      <c r="U32" s="328" t="s">
        <v>291</v>
      </c>
    </row>
    <row r="33" spans="1:21" x14ac:dyDescent="0.25">
      <c r="A33" s="410">
        <f>IF(Inputs!B13="","",IF(units=2,CONVERT(Inputs!B13,"ft","m"),Inputs!B13))</f>
        <v>0.4572</v>
      </c>
      <c r="B33" s="415">
        <f>IF(Inputs!G13="","",IF(units=2,CONVERT(Inputs!G13,"ft","m"),Inputs!G13))</f>
        <v>0.91439999999999999</v>
      </c>
      <c r="C33" s="409" t="str">
        <f t="shared" ref="C33:C52" si="12">C7</f>
        <v>Susceptible</v>
      </c>
      <c r="D33" s="418">
        <f>IF(A33="",NA(),'PB Liquefaction Initiation'!D43)</f>
        <v>32.632000000000005</v>
      </c>
      <c r="E33" s="297">
        <f>EXP(('Det Liquefaction Initiation'!K43-(29.06*LN(7.5))+15.25)/13.79)</f>
        <v>0.44149015852727191</v>
      </c>
      <c r="F33" s="298">
        <f>SQRT(D33/60)*100</f>
        <v>73.747316335353304</v>
      </c>
      <c r="G33" s="363">
        <f t="shared" ref="G33:G52" si="13">MAX(0,((1.879*LN((780.416*LN(E33/(0.361*LN(F33)-0.579))-D33+2442.465)/(636.613*D33+306.732))+5.583)/100))</f>
        <v>9.5195078363186341E-3</v>
      </c>
      <c r="I33" s="42"/>
      <c r="J33" s="42"/>
      <c r="K33" s="42"/>
      <c r="L33" s="333">
        <f t="shared" ref="L33:L52" si="14">IF(A33="",NA(),MAX(0,1-(A33/18)))</f>
        <v>0.97460000000000002</v>
      </c>
      <c r="M33" s="334">
        <f>G33*B33*L33</f>
        <v>8.4835401612053038E-3</v>
      </c>
      <c r="N33" s="335">
        <f t="shared" ref="N33:N52" si="15">IF(OR(A33="",C33="Not_susc."),NA(),B33*L33)</f>
        <v>0.89117424000000001</v>
      </c>
      <c r="O33" s="334">
        <f>SUMIFS(M33:M52,C33:C52,"=Susceptible",A33:A52,"&lt;18")/SUMIFS(N33:N52,C33:C52,"=Susceptible",A33:A52,"&lt;18")</f>
        <v>2.7414618940097082E-2</v>
      </c>
      <c r="P33" s="343">
        <f>1.15*O33*SUMIFS(B33:B52,C33:C52,"=Susceptible",A33:A52,"&lt;18")</f>
        <v>0.45164049485149299</v>
      </c>
      <c r="Q33" s="317">
        <f>G33*L33*SUMIFS($B$33:$B$52,$C$33:$C$52,"=Susceptible",$A$33:$A$52,"&lt;18")</f>
        <v>0.1329087958588831</v>
      </c>
      <c r="R33" s="385">
        <f>SUMIF(C33:C52,"=Susceptible",N33:N52)</f>
        <v>7.3681945600000001</v>
      </c>
      <c r="S33" s="329">
        <f t="shared" ref="S33:S52" si="16">Q33/$R$33</f>
        <v>1.8038176757765079E-2</v>
      </c>
      <c r="T33" s="385">
        <f t="shared" ref="T33:T52" si="17">1.15*S33*B33*100</f>
        <v>1.8968225151395444</v>
      </c>
      <c r="U33" s="391">
        <f>SUMIF(C33:C52,"=Susceptible",T33:T52)</f>
        <v>45.164049485149292</v>
      </c>
    </row>
    <row r="34" spans="1:21" x14ac:dyDescent="0.25">
      <c r="A34" s="410">
        <f>IF(Inputs!B14="","",IF(units=2,CONVERT(Inputs!B14,"ft","m"),Inputs!B14))</f>
        <v>1.6763999999999999</v>
      </c>
      <c r="B34" s="415">
        <f>IF(Inputs!G14="","",IF(units=2,CONVERT(Inputs!G14,"ft","m"),Inputs!G14))</f>
        <v>1.524</v>
      </c>
      <c r="C34" s="409" t="str">
        <f t="shared" si="12"/>
        <v>Susceptible</v>
      </c>
      <c r="D34" s="354">
        <f>IF(A34="",NA(),'PB Liquefaction Initiation'!D44)</f>
        <v>10.621491593382261</v>
      </c>
      <c r="E34" s="295">
        <f>EXP(('Det Liquefaction Initiation'!K44-(29.06*LN(7.5))+15.25)/13.79)</f>
        <v>0.63110622692422336</v>
      </c>
      <c r="F34" s="299">
        <f t="shared" ref="F34:F52" si="18">SQRT(D34/60)*100</f>
        <v>42.074322322493131</v>
      </c>
      <c r="G34" s="364">
        <f t="shared" si="13"/>
        <v>3.4533768007194356E-2</v>
      </c>
      <c r="I34" s="42"/>
      <c r="J34" s="42"/>
      <c r="K34" s="42"/>
      <c r="L34" s="333">
        <f t="shared" si="14"/>
        <v>0.90686666666666671</v>
      </c>
      <c r="M34" s="334">
        <f>G34*B34*L34</f>
        <v>4.7727905174109471E-2</v>
      </c>
      <c r="N34" s="335">
        <f t="shared" si="15"/>
        <v>1.3820648</v>
      </c>
      <c r="O34" s="336"/>
      <c r="P34" s="337"/>
      <c r="Q34" s="317">
        <f t="shared" ref="Q34:Q52" si="19">G34*L34*SUMIFS($B$33:$B$52,$C$33:$C$52,"=Susceptible",$A$33:$A$52,"&lt;18")</f>
        <v>0.44864230863662907</v>
      </c>
      <c r="R34" s="329"/>
      <c r="S34" s="329">
        <f t="shared" si="16"/>
        <v>6.0889042082600632E-2</v>
      </c>
      <c r="T34" s="385">
        <f t="shared" si="17"/>
        <v>10.671413515396585</v>
      </c>
      <c r="U34" s="392">
        <f t="shared" ref="U34:U51" si="20">IF(OR(C34="",C34="Not_susc."),U35,U35+T34)</f>
        <v>43.267226970009752</v>
      </c>
    </row>
    <row r="35" spans="1:21" x14ac:dyDescent="0.25">
      <c r="A35" s="410">
        <f>IF(Inputs!B15="","",IF(units=2,CONVERT(Inputs!B15,"ft","m"),Inputs!B15))</f>
        <v>3.2004000000000001</v>
      </c>
      <c r="B35" s="415">
        <f>IF(Inputs!G15="","",IF(units=2,CONVERT(Inputs!G15,"ft","m"),Inputs!G15))</f>
        <v>1.524</v>
      </c>
      <c r="C35" s="409" t="str">
        <f t="shared" si="12"/>
        <v>Susceptible</v>
      </c>
      <c r="D35" s="354">
        <f>IF(A35="",NA(),'PB Liquefaction Initiation'!D45)</f>
        <v>13.32533678800505</v>
      </c>
      <c r="E35" s="295">
        <f>EXP(('Det Liquefaction Initiation'!K45-(29.06*LN(7.5))+15.25)/13.79)</f>
        <v>0.75211169237553854</v>
      </c>
      <c r="F35" s="299">
        <f t="shared" si="18"/>
        <v>47.126313930409495</v>
      </c>
      <c r="G35" s="364">
        <f t="shared" si="13"/>
        <v>3.1197680058452585E-2</v>
      </c>
      <c r="I35" s="42"/>
      <c r="J35" s="42"/>
      <c r="K35" s="42"/>
      <c r="L35" s="333">
        <f t="shared" si="14"/>
        <v>0.82220000000000004</v>
      </c>
      <c r="M35" s="334">
        <f t="shared" ref="M35:M52" si="21">G35*B35*L35</f>
        <v>3.9091716397147008E-2</v>
      </c>
      <c r="N35" s="335">
        <f t="shared" si="15"/>
        <v>1.2530328000000002</v>
      </c>
      <c r="O35" s="336"/>
      <c r="P35" s="337"/>
      <c r="Q35" s="317">
        <f t="shared" si="19"/>
        <v>0.36746213413318191</v>
      </c>
      <c r="R35" s="329"/>
      <c r="S35" s="329">
        <f t="shared" si="16"/>
        <v>4.9871394022090253E-2</v>
      </c>
      <c r="T35" s="385">
        <f t="shared" si="17"/>
        <v>8.7404605163115363</v>
      </c>
      <c r="U35" s="392">
        <f t="shared" si="20"/>
        <v>32.595813454613165</v>
      </c>
    </row>
    <row r="36" spans="1:21" x14ac:dyDescent="0.25">
      <c r="A36" s="410">
        <f>IF(Inputs!B16="","",IF(units=2,CONVERT(Inputs!B16,"ft","m"),Inputs!B16))</f>
        <v>4.5720000000000001</v>
      </c>
      <c r="B36" s="415">
        <f>IF(Inputs!G16="","",IF(units=2,CONVERT(Inputs!G16,"ft","m"),Inputs!G16))</f>
        <v>1.2192000000000001</v>
      </c>
      <c r="C36" s="409" t="str">
        <f t="shared" si="12"/>
        <v>Not_susc.</v>
      </c>
      <c r="D36" s="354">
        <f>IF(A36="",NA(),'PB Liquefaction Initiation'!D46)</f>
        <v>4.0320252341104634</v>
      </c>
      <c r="E36" s="295" t="e">
        <f>EXP(('Det Liquefaction Initiation'!K46-(29.06*LN(7.5))+15.25)/13.79)</f>
        <v>#N/A</v>
      </c>
      <c r="F36" s="299">
        <f t="shared" si="18"/>
        <v>25.92304391241656</v>
      </c>
      <c r="G36" s="364" t="e">
        <f t="shared" si="13"/>
        <v>#N/A</v>
      </c>
      <c r="I36" s="42"/>
      <c r="J36" s="42"/>
      <c r="K36" s="42"/>
      <c r="L36" s="333">
        <f t="shared" si="14"/>
        <v>0.746</v>
      </c>
      <c r="M36" s="334" t="e">
        <f t="shared" si="21"/>
        <v>#N/A</v>
      </c>
      <c r="N36" s="335" t="e">
        <f t="shared" si="15"/>
        <v>#N/A</v>
      </c>
      <c r="O36" s="336"/>
      <c r="P36" s="337"/>
      <c r="Q36" s="317" t="e">
        <f t="shared" si="19"/>
        <v>#N/A</v>
      </c>
      <c r="R36" s="329"/>
      <c r="S36" s="329" t="e">
        <f t="shared" si="16"/>
        <v>#N/A</v>
      </c>
      <c r="T36" s="385" t="e">
        <f t="shared" si="17"/>
        <v>#N/A</v>
      </c>
      <c r="U36" s="392">
        <f t="shared" si="20"/>
        <v>23.855352938301628</v>
      </c>
    </row>
    <row r="37" spans="1:21" x14ac:dyDescent="0.25">
      <c r="A37" s="410">
        <f>IF(Inputs!B17="","",IF(units=2,CONVERT(Inputs!B17,"ft","m"),Inputs!B17))</f>
        <v>6.2484000000000002</v>
      </c>
      <c r="B37" s="415">
        <f>IF(Inputs!G17="","",IF(units=2,CONVERT(Inputs!G17,"ft","m"),Inputs!G17))</f>
        <v>2.1335999999999999</v>
      </c>
      <c r="C37" s="409" t="str">
        <f t="shared" si="12"/>
        <v>Susceptible</v>
      </c>
      <c r="D37" s="354">
        <f>IF(A37="",NA(),'PB Liquefaction Initiation'!D47)</f>
        <v>22.247219944730496</v>
      </c>
      <c r="E37" s="295">
        <f>EXP(('Det Liquefaction Initiation'!K47-(29.06*LN(7.5))+15.25)/13.79)</f>
        <v>0.89690809312119368</v>
      </c>
      <c r="F37" s="299">
        <f t="shared" si="18"/>
        <v>60.892281865507528</v>
      </c>
      <c r="G37" s="364">
        <f t="shared" si="13"/>
        <v>2.2179479744729044E-2</v>
      </c>
      <c r="I37" s="42"/>
      <c r="J37" s="42"/>
      <c r="K37" s="42"/>
      <c r="L37" s="333">
        <f t="shared" si="14"/>
        <v>0.65286666666666671</v>
      </c>
      <c r="M37" s="334">
        <f t="shared" si="21"/>
        <v>3.0895046484732309E-2</v>
      </c>
      <c r="N37" s="335">
        <f t="shared" si="15"/>
        <v>1.3929563200000001</v>
      </c>
      <c r="O37" s="336"/>
      <c r="P37" s="337"/>
      <c r="Q37" s="317">
        <f t="shared" si="19"/>
        <v>0.20743816925463127</v>
      </c>
      <c r="R37" s="329"/>
      <c r="S37" s="329">
        <f t="shared" si="16"/>
        <v>2.8153188351018689E-2</v>
      </c>
      <c r="T37" s="385">
        <f t="shared" si="17"/>
        <v>6.9077789065593489</v>
      </c>
      <c r="U37" s="392">
        <f t="shared" si="20"/>
        <v>23.855352938301628</v>
      </c>
    </row>
    <row r="38" spans="1:21" x14ac:dyDescent="0.25">
      <c r="A38" s="410">
        <f>IF(Inputs!B18="","",IF(units=2,CONVERT(Inputs!B18,"ft","m"),Inputs!B18))</f>
        <v>7.7724000000000002</v>
      </c>
      <c r="B38" s="415">
        <f>IF(Inputs!G18="","",IF(units=2,CONVERT(Inputs!G18,"ft","m"),Inputs!G18))</f>
        <v>0.91439999999999999</v>
      </c>
      <c r="C38" s="409" t="str">
        <f t="shared" si="12"/>
        <v>Susceptible</v>
      </c>
      <c r="D38" s="354">
        <f>IF(A38="",NA(),'PB Liquefaction Initiation'!D48)</f>
        <v>30.426482551232123</v>
      </c>
      <c r="E38" s="295">
        <f>EXP(('Det Liquefaction Initiation'!K48-(29.06*LN(7.5))+15.25)/13.79)</f>
        <v>0.94736552497981241</v>
      </c>
      <c r="F38" s="299">
        <f t="shared" si="18"/>
        <v>71.211518908146829</v>
      </c>
      <c r="G38" s="364">
        <f t="shared" si="13"/>
        <v>1.6304109787637858E-2</v>
      </c>
      <c r="I38" s="42"/>
      <c r="J38" s="42"/>
      <c r="K38" s="42"/>
      <c r="L38" s="333">
        <f t="shared" si="14"/>
        <v>0.56820000000000004</v>
      </c>
      <c r="M38" s="334">
        <f t="shared" si="21"/>
        <v>8.4709971938134836E-3</v>
      </c>
      <c r="N38" s="335">
        <f t="shared" si="15"/>
        <v>0.51956208000000004</v>
      </c>
      <c r="O38" s="336"/>
      <c r="P38" s="337"/>
      <c r="Q38" s="317">
        <f t="shared" si="19"/>
        <v>0.13271228936974461</v>
      </c>
      <c r="R38" s="329"/>
      <c r="S38" s="329">
        <f t="shared" si="16"/>
        <v>1.8011507200176947E-2</v>
      </c>
      <c r="T38" s="385">
        <f t="shared" si="17"/>
        <v>1.8940180511418068</v>
      </c>
      <c r="U38" s="392">
        <f t="shared" si="20"/>
        <v>16.947574031742281</v>
      </c>
    </row>
    <row r="39" spans="1:21" x14ac:dyDescent="0.25">
      <c r="A39" s="410">
        <f>IF(Inputs!B19="","",IF(units=2,CONVERT(Inputs!B19,"ft","m"),Inputs!B19))</f>
        <v>9.2964000000000002</v>
      </c>
      <c r="B39" s="415">
        <f>IF(Inputs!G19="","",IF(units=2,CONVERT(Inputs!G19,"ft","m"),Inputs!G19))</f>
        <v>2.1335999999999999</v>
      </c>
      <c r="C39" s="409" t="str">
        <f t="shared" si="12"/>
        <v>Susceptible</v>
      </c>
      <c r="D39" s="354">
        <f>IF(A39="",NA(),'PB Liquefaction Initiation'!D49)</f>
        <v>20.884133717749325</v>
      </c>
      <c r="E39" s="295">
        <f>EXP(('Det Liquefaction Initiation'!K49-(29.06*LN(7.5))+15.25)/13.79)</f>
        <v>0.98900288046330997</v>
      </c>
      <c r="F39" s="299">
        <f t="shared" si="18"/>
        <v>58.997363949232685</v>
      </c>
      <c r="G39" s="364">
        <f t="shared" si="13"/>
        <v>2.401105049186987E-2</v>
      </c>
      <c r="I39" s="42"/>
      <c r="J39" s="42"/>
      <c r="K39" s="42"/>
      <c r="L39" s="333">
        <f t="shared" si="14"/>
        <v>0.48353333333333337</v>
      </c>
      <c r="M39" s="334">
        <f t="shared" si="21"/>
        <v>2.4771401704701775E-2</v>
      </c>
      <c r="N39" s="335">
        <f t="shared" si="15"/>
        <v>1.03166672</v>
      </c>
      <c r="O39" s="336"/>
      <c r="P39" s="337"/>
      <c r="Q39" s="317">
        <f t="shared" si="19"/>
        <v>0.16632226858871196</v>
      </c>
      <c r="R39" s="329"/>
      <c r="S39" s="329">
        <f t="shared" si="16"/>
        <v>2.2573001735273393E-2</v>
      </c>
      <c r="T39" s="385">
        <f t="shared" si="17"/>
        <v>5.5386019977736201</v>
      </c>
      <c r="U39" s="392">
        <f t="shared" si="20"/>
        <v>15.053555980600473</v>
      </c>
    </row>
    <row r="40" spans="1:21" x14ac:dyDescent="0.25">
      <c r="A40" s="410">
        <f>IF(Inputs!B20="","",IF(units=2,CONVERT(Inputs!B20,"ft","m"),Inputs!B20))</f>
        <v>10.820399999999999</v>
      </c>
      <c r="B40" s="415">
        <f>IF(Inputs!G20="","",IF(units=2,CONVERT(Inputs!G20,"ft","m"),Inputs!G20))</f>
        <v>0.91439999999999999</v>
      </c>
      <c r="C40" s="409" t="str">
        <f t="shared" si="12"/>
        <v>Susceptible</v>
      </c>
      <c r="D40" s="354">
        <f>IF(A40="",NA(),'PB Liquefaction Initiation'!D50)</f>
        <v>9.1514758932516074</v>
      </c>
      <c r="E40" s="295">
        <f>EXP(('Det Liquefaction Initiation'!K50-(29.06*LN(7.5))+15.25)/13.79)</f>
        <v>1.0237192437790503</v>
      </c>
      <c r="F40" s="299">
        <f t="shared" si="18"/>
        <v>39.054397731991735</v>
      </c>
      <c r="G40" s="364">
        <f t="shared" si="13"/>
        <v>4.0291732137888496E-2</v>
      </c>
      <c r="I40" s="42"/>
      <c r="J40" s="42"/>
      <c r="K40" s="42"/>
      <c r="L40" s="333">
        <f t="shared" si="14"/>
        <v>0.3988666666666667</v>
      </c>
      <c r="M40" s="334">
        <f t="shared" si="21"/>
        <v>1.469534881890496E-2</v>
      </c>
      <c r="N40" s="335">
        <f t="shared" si="15"/>
        <v>0.36472368000000005</v>
      </c>
      <c r="O40" s="336"/>
      <c r="P40" s="337"/>
      <c r="Q40" s="317">
        <f t="shared" si="19"/>
        <v>0.23022713149617777</v>
      </c>
      <c r="R40" s="329"/>
      <c r="S40" s="329">
        <f t="shared" si="16"/>
        <v>3.124607115371527E-2</v>
      </c>
      <c r="T40" s="385">
        <f t="shared" si="17"/>
        <v>3.2857118582400826</v>
      </c>
      <c r="U40" s="392">
        <f t="shared" si="20"/>
        <v>9.514953982826853</v>
      </c>
    </row>
    <row r="41" spans="1:21" x14ac:dyDescent="0.25">
      <c r="A41" s="410">
        <f>IF(Inputs!B21="","",IF(units=2,CONVERT(Inputs!B21,"ft","m"),Inputs!B21))</f>
        <v>12.4968</v>
      </c>
      <c r="B41" s="415">
        <f>IF(Inputs!G21="","",IF(units=2,CONVERT(Inputs!G21,"ft","m"),Inputs!G21))</f>
        <v>2.4384000000000001</v>
      </c>
      <c r="C41" s="409" t="str">
        <f t="shared" si="12"/>
        <v>Not_susc.</v>
      </c>
      <c r="D41" s="354">
        <f>IF(A41="",NA(),'PB Liquefaction Initiation'!D51)</f>
        <v>4.144728715335928</v>
      </c>
      <c r="E41" s="295" t="e">
        <f>EXP(('Det Liquefaction Initiation'!K51-(29.06*LN(7.5))+15.25)/13.79)</f>
        <v>#N/A</v>
      </c>
      <c r="F41" s="299">
        <f t="shared" si="18"/>
        <v>26.282848384881248</v>
      </c>
      <c r="G41" s="364" t="e">
        <f t="shared" si="13"/>
        <v>#N/A</v>
      </c>
      <c r="I41" s="42"/>
      <c r="J41" s="42"/>
      <c r="K41" s="42"/>
      <c r="L41" s="333">
        <f t="shared" si="14"/>
        <v>0.3057333333333333</v>
      </c>
      <c r="M41" s="334" t="e">
        <f t="shared" si="21"/>
        <v>#N/A</v>
      </c>
      <c r="N41" s="335" t="e">
        <f t="shared" si="15"/>
        <v>#N/A</v>
      </c>
      <c r="O41" s="336"/>
      <c r="P41" s="337"/>
      <c r="Q41" s="317" t="e">
        <f t="shared" si="19"/>
        <v>#N/A</v>
      </c>
      <c r="R41" s="329"/>
      <c r="S41" s="329" t="e">
        <f t="shared" si="16"/>
        <v>#N/A</v>
      </c>
      <c r="T41" s="385" t="e">
        <f t="shared" si="17"/>
        <v>#N/A</v>
      </c>
      <c r="U41" s="392">
        <f t="shared" si="20"/>
        <v>6.2292421245867713</v>
      </c>
    </row>
    <row r="42" spans="1:21" x14ac:dyDescent="0.25">
      <c r="A42" s="410">
        <f>IF(Inputs!B22="","",IF(units=2,CONVERT(Inputs!B22,"ft","m"),Inputs!B22))</f>
        <v>13.715999999999999</v>
      </c>
      <c r="B42" s="415">
        <f>IF(Inputs!G22="","",IF(units=2,CONVERT(Inputs!G22,"ft","m"),Inputs!G22))</f>
        <v>0.91439999999999999</v>
      </c>
      <c r="C42" s="409" t="str">
        <f t="shared" si="12"/>
        <v>Susceptible</v>
      </c>
      <c r="D42" s="354">
        <f>IF(A42="",NA(),'PB Liquefaction Initiation'!D52)</f>
        <v>2.0632593460236448</v>
      </c>
      <c r="E42" s="295">
        <f>EXP(('Det Liquefaction Initiation'!K52-(29.06*LN(7.5))+15.25)/13.79)</f>
        <v>1.074351126626564</v>
      </c>
      <c r="F42" s="299">
        <f t="shared" si="18"/>
        <v>18.543908910221909</v>
      </c>
      <c r="G42" s="364">
        <f t="shared" si="13"/>
        <v>6.7882049552498588E-2</v>
      </c>
      <c r="I42" s="42"/>
      <c r="J42" s="42"/>
      <c r="K42" s="42"/>
      <c r="L42" s="333">
        <f t="shared" si="14"/>
        <v>0.23799999999999999</v>
      </c>
      <c r="M42" s="334">
        <f t="shared" si="21"/>
        <v>1.477298037437152E-2</v>
      </c>
      <c r="N42" s="335">
        <f t="shared" si="15"/>
        <v>0.21762719999999999</v>
      </c>
      <c r="O42" s="336"/>
      <c r="P42" s="337"/>
      <c r="Q42" s="317">
        <f t="shared" si="19"/>
        <v>0.23144335919848716</v>
      </c>
      <c r="R42" s="329"/>
      <c r="S42" s="329">
        <f t="shared" si="16"/>
        <v>3.141113570140134E-2</v>
      </c>
      <c r="T42" s="385">
        <f t="shared" si="17"/>
        <v>3.3030693858165585</v>
      </c>
      <c r="U42" s="392">
        <f t="shared" si="20"/>
        <v>6.2292421245867713</v>
      </c>
    </row>
    <row r="43" spans="1:21" x14ac:dyDescent="0.25">
      <c r="A43" s="410">
        <f>IF(Inputs!B23="","",IF(units=2,CONVERT(Inputs!B23,"ft","m"),Inputs!B23))</f>
        <v>15.6972</v>
      </c>
      <c r="B43" s="415">
        <f>IF(Inputs!G23="","",IF(units=2,CONVERT(Inputs!G23,"ft","m"),Inputs!G23))</f>
        <v>2.1335999999999999</v>
      </c>
      <c r="C43" s="409" t="str">
        <f t="shared" si="12"/>
        <v>Susceptible</v>
      </c>
      <c r="D43" s="354">
        <f>IF(A43="",NA(),'PB Liquefaction Initiation'!D53)</f>
        <v>10.322847584760181</v>
      </c>
      <c r="E43" s="295">
        <f>EXP(('Det Liquefaction Initiation'!K53-(29.06*LN(7.5))+15.25)/13.79)</f>
        <v>1.0991366765650474</v>
      </c>
      <c r="F43" s="299">
        <f t="shared" si="18"/>
        <v>41.47860409247194</v>
      </c>
      <c r="G43" s="364">
        <f t="shared" si="13"/>
        <v>3.8357162904326822E-2</v>
      </c>
      <c r="I43" s="42"/>
      <c r="J43" s="42"/>
      <c r="K43" s="42"/>
      <c r="L43" s="333">
        <f t="shared" si="14"/>
        <v>0.12793333333333334</v>
      </c>
      <c r="M43" s="334">
        <f t="shared" si="21"/>
        <v>1.0469915952050468E-2</v>
      </c>
      <c r="N43" s="335">
        <f t="shared" si="15"/>
        <v>0.27295856000000002</v>
      </c>
      <c r="O43" s="336"/>
      <c r="P43" s="337"/>
      <c r="Q43" s="317">
        <f t="shared" si="19"/>
        <v>7.029800710662458E-2</v>
      </c>
      <c r="R43" s="329"/>
      <c r="S43" s="329">
        <f t="shared" si="16"/>
        <v>9.5407370875158562E-3</v>
      </c>
      <c r="T43" s="385">
        <f t="shared" si="17"/>
        <v>2.3409534147412403</v>
      </c>
      <c r="U43" s="392">
        <f t="shared" si="20"/>
        <v>2.9261727387702128</v>
      </c>
    </row>
    <row r="44" spans="1:21" x14ac:dyDescent="0.25">
      <c r="A44" s="410">
        <f>IF(Inputs!B24="","",IF(units=2,CONVERT(Inputs!B24,"ft","m"),Inputs!B24))</f>
        <v>17.3736</v>
      </c>
      <c r="B44" s="415">
        <f>IF(Inputs!G24="","",IF(units=2,CONVERT(Inputs!G24,"ft","m"),Inputs!G24))</f>
        <v>1.2192000000000001</v>
      </c>
      <c r="C44" s="409" t="str">
        <f t="shared" si="12"/>
        <v>Susceptible</v>
      </c>
      <c r="D44" s="354">
        <f>IF(A44="",NA(),'PB Liquefaction Initiation'!D54)</f>
        <v>2.9720420997108414</v>
      </c>
      <c r="E44" s="295">
        <f>EXP(('Det Liquefaction Initiation'!K54-(29.06*LN(7.5))+15.25)/13.79)</f>
        <v>1.1145069273285872</v>
      </c>
      <c r="F44" s="299">
        <f t="shared" si="18"/>
        <v>22.256242943313836</v>
      </c>
      <c r="G44" s="364">
        <f t="shared" si="13"/>
        <v>6.1690016202917433E-2</v>
      </c>
      <c r="I44" s="42"/>
      <c r="J44" s="42"/>
      <c r="K44" s="42"/>
      <c r="L44" s="333">
        <f t="shared" si="14"/>
        <v>3.4800000000000053E-2</v>
      </c>
      <c r="M44" s="334">
        <f t="shared" si="21"/>
        <v>2.6173938778599774E-3</v>
      </c>
      <c r="N44" s="335">
        <f t="shared" si="15"/>
        <v>4.2428160000000069E-2</v>
      </c>
      <c r="O44" s="336"/>
      <c r="P44" s="337"/>
      <c r="Q44" s="317">
        <f t="shared" si="19"/>
        <v>3.0754378064854739E-2</v>
      </c>
      <c r="R44" s="329"/>
      <c r="S44" s="329">
        <f t="shared" si="16"/>
        <v>4.1739367513192729E-3</v>
      </c>
      <c r="T44" s="385">
        <f t="shared" si="17"/>
        <v>0.58521932402897259</v>
      </c>
      <c r="U44" s="392">
        <f t="shared" si="20"/>
        <v>0.58521932402897259</v>
      </c>
    </row>
    <row r="45" spans="1:21" x14ac:dyDescent="0.25">
      <c r="A45" s="410" t="str">
        <f>IF(Inputs!B25="","",IF(units=2,CONVERT(Inputs!B25,"ft","m"),Inputs!B25))</f>
        <v/>
      </c>
      <c r="B45" s="415" t="str">
        <f>IF(Inputs!G25="","",IF(units=2,CONVERT(Inputs!G25,"ft","m"),Inputs!G25))</f>
        <v/>
      </c>
      <c r="C45" s="409" t="str">
        <f t="shared" si="12"/>
        <v/>
      </c>
      <c r="D45" s="354" t="e">
        <f>IF(A45="",NA(),'PB Liquefaction Initiation'!D55)</f>
        <v>#N/A</v>
      </c>
      <c r="E45" s="295" t="e">
        <f>EXP(('Det Liquefaction Initiation'!K55-(29.06*LN(7.5))+15.25)/13.79)</f>
        <v>#N/A</v>
      </c>
      <c r="F45" s="299" t="e">
        <f t="shared" si="18"/>
        <v>#N/A</v>
      </c>
      <c r="G45" s="364" t="e">
        <f t="shared" si="13"/>
        <v>#N/A</v>
      </c>
      <c r="I45" s="42"/>
      <c r="J45" s="42"/>
      <c r="K45" s="42"/>
      <c r="L45" s="333" t="e">
        <f t="shared" si="14"/>
        <v>#N/A</v>
      </c>
      <c r="M45" s="334" t="e">
        <f t="shared" si="21"/>
        <v>#N/A</v>
      </c>
      <c r="N45" s="335" t="e">
        <f t="shared" si="15"/>
        <v>#N/A</v>
      </c>
      <c r="O45" s="336"/>
      <c r="P45" s="337"/>
      <c r="Q45" s="317" t="e">
        <f t="shared" si="19"/>
        <v>#N/A</v>
      </c>
      <c r="R45" s="329"/>
      <c r="S45" s="329" t="e">
        <f t="shared" si="16"/>
        <v>#N/A</v>
      </c>
      <c r="T45" s="385" t="e">
        <f t="shared" si="17"/>
        <v>#N/A</v>
      </c>
      <c r="U45" s="392">
        <f t="shared" si="20"/>
        <v>0</v>
      </c>
    </row>
    <row r="46" spans="1:21" x14ac:dyDescent="0.25">
      <c r="A46" s="410" t="str">
        <f>IF(Inputs!B26="","",IF(units=2,CONVERT(Inputs!B26,"ft","m"),Inputs!B26))</f>
        <v/>
      </c>
      <c r="B46" s="415" t="str">
        <f>IF(Inputs!G26="","",IF(units=2,CONVERT(Inputs!G26,"ft","m"),Inputs!G26))</f>
        <v/>
      </c>
      <c r="C46" s="409" t="str">
        <f t="shared" si="12"/>
        <v/>
      </c>
      <c r="D46" s="354" t="e">
        <f>IF(A46="",NA(),'PB Liquefaction Initiation'!D56)</f>
        <v>#N/A</v>
      </c>
      <c r="E46" s="295" t="e">
        <f>EXP(('Det Liquefaction Initiation'!K56-(29.06*LN(7.5))+15.25)/13.79)</f>
        <v>#N/A</v>
      </c>
      <c r="F46" s="299" t="e">
        <f t="shared" si="18"/>
        <v>#N/A</v>
      </c>
      <c r="G46" s="364" t="e">
        <f t="shared" si="13"/>
        <v>#N/A</v>
      </c>
      <c r="I46" s="42"/>
      <c r="J46" s="42"/>
      <c r="K46" s="42"/>
      <c r="L46" s="333" t="e">
        <f t="shared" si="14"/>
        <v>#N/A</v>
      </c>
      <c r="M46" s="334" t="e">
        <f t="shared" si="21"/>
        <v>#N/A</v>
      </c>
      <c r="N46" s="335" t="e">
        <f t="shared" si="15"/>
        <v>#N/A</v>
      </c>
      <c r="O46" s="336"/>
      <c r="P46" s="337"/>
      <c r="Q46" s="317" t="e">
        <f t="shared" si="19"/>
        <v>#N/A</v>
      </c>
      <c r="R46" s="329"/>
      <c r="S46" s="329" t="e">
        <f t="shared" si="16"/>
        <v>#N/A</v>
      </c>
      <c r="T46" s="385" t="e">
        <f t="shared" si="17"/>
        <v>#N/A</v>
      </c>
      <c r="U46" s="392">
        <f t="shared" si="20"/>
        <v>0</v>
      </c>
    </row>
    <row r="47" spans="1:21" x14ac:dyDescent="0.25">
      <c r="A47" s="410" t="str">
        <f>IF(Inputs!B27="","",IF(units=2,CONVERT(Inputs!B27,"ft","m"),Inputs!B27))</f>
        <v/>
      </c>
      <c r="B47" s="415" t="str">
        <f>IF(Inputs!G27="","",IF(units=2,CONVERT(Inputs!G27,"ft","m"),Inputs!G27))</f>
        <v/>
      </c>
      <c r="C47" s="409" t="str">
        <f t="shared" si="12"/>
        <v/>
      </c>
      <c r="D47" s="354" t="e">
        <f>IF(A47="",NA(),'PB Liquefaction Initiation'!D57)</f>
        <v>#N/A</v>
      </c>
      <c r="E47" s="295" t="e">
        <f>EXP(('Det Liquefaction Initiation'!K57-(29.06*LN(7.5))+15.25)/13.79)</f>
        <v>#N/A</v>
      </c>
      <c r="F47" s="299" t="e">
        <f t="shared" si="18"/>
        <v>#N/A</v>
      </c>
      <c r="G47" s="364" t="e">
        <f t="shared" si="13"/>
        <v>#N/A</v>
      </c>
      <c r="I47" s="42"/>
      <c r="J47" s="42"/>
      <c r="K47" s="42"/>
      <c r="L47" s="333" t="e">
        <f t="shared" si="14"/>
        <v>#N/A</v>
      </c>
      <c r="M47" s="334" t="e">
        <f t="shared" si="21"/>
        <v>#N/A</v>
      </c>
      <c r="N47" s="335" t="e">
        <f t="shared" si="15"/>
        <v>#N/A</v>
      </c>
      <c r="O47" s="336"/>
      <c r="P47" s="337"/>
      <c r="Q47" s="317" t="e">
        <f t="shared" si="19"/>
        <v>#N/A</v>
      </c>
      <c r="R47" s="329"/>
      <c r="S47" s="329" t="e">
        <f t="shared" si="16"/>
        <v>#N/A</v>
      </c>
      <c r="T47" s="385" t="e">
        <f t="shared" si="17"/>
        <v>#N/A</v>
      </c>
      <c r="U47" s="392">
        <f t="shared" si="20"/>
        <v>0</v>
      </c>
    </row>
    <row r="48" spans="1:21" x14ac:dyDescent="0.25">
      <c r="A48" s="410" t="str">
        <f>IF(Inputs!B28="","",IF(units=2,CONVERT(Inputs!B28,"ft","m"),Inputs!B28))</f>
        <v/>
      </c>
      <c r="B48" s="415" t="str">
        <f>IF(Inputs!G28="","",IF(units=2,CONVERT(Inputs!G28,"ft","m"),Inputs!G28))</f>
        <v/>
      </c>
      <c r="C48" s="409" t="str">
        <f t="shared" si="12"/>
        <v/>
      </c>
      <c r="D48" s="354" t="e">
        <f>IF(A48="",NA(),'PB Liquefaction Initiation'!D58)</f>
        <v>#N/A</v>
      </c>
      <c r="E48" s="295" t="e">
        <f>EXP(('Det Liquefaction Initiation'!K58-(29.06*LN(7.5))+15.25)/13.79)</f>
        <v>#N/A</v>
      </c>
      <c r="F48" s="299" t="e">
        <f t="shared" si="18"/>
        <v>#N/A</v>
      </c>
      <c r="G48" s="364" t="e">
        <f t="shared" si="13"/>
        <v>#N/A</v>
      </c>
      <c r="I48" s="42"/>
      <c r="J48" s="42"/>
      <c r="K48" s="42"/>
      <c r="L48" s="333" t="e">
        <f t="shared" si="14"/>
        <v>#N/A</v>
      </c>
      <c r="M48" s="334" t="e">
        <f t="shared" si="21"/>
        <v>#N/A</v>
      </c>
      <c r="N48" s="335" t="e">
        <f t="shared" si="15"/>
        <v>#N/A</v>
      </c>
      <c r="O48" s="336"/>
      <c r="P48" s="337"/>
      <c r="Q48" s="317" t="e">
        <f t="shared" si="19"/>
        <v>#N/A</v>
      </c>
      <c r="R48" s="329"/>
      <c r="S48" s="329" t="e">
        <f t="shared" si="16"/>
        <v>#N/A</v>
      </c>
      <c r="T48" s="385" t="e">
        <f t="shared" si="17"/>
        <v>#N/A</v>
      </c>
      <c r="U48" s="392">
        <f t="shared" si="20"/>
        <v>0</v>
      </c>
    </row>
    <row r="49" spans="1:21" x14ac:dyDescent="0.25">
      <c r="A49" s="410" t="str">
        <f>IF(Inputs!B29="","",IF(units=2,CONVERT(Inputs!B29,"ft","m"),Inputs!B29))</f>
        <v/>
      </c>
      <c r="B49" s="415" t="str">
        <f>IF(Inputs!G29="","",IF(units=2,CONVERT(Inputs!G29,"ft","m"),Inputs!G29))</f>
        <v/>
      </c>
      <c r="C49" s="409" t="str">
        <f t="shared" si="12"/>
        <v/>
      </c>
      <c r="D49" s="354" t="e">
        <f>IF(A49="",NA(),'PB Liquefaction Initiation'!D59)</f>
        <v>#N/A</v>
      </c>
      <c r="E49" s="295" t="e">
        <f>EXP(('Det Liquefaction Initiation'!K59-(29.06*LN(7.5))+15.25)/13.79)</f>
        <v>#N/A</v>
      </c>
      <c r="F49" s="299" t="e">
        <f t="shared" si="18"/>
        <v>#N/A</v>
      </c>
      <c r="G49" s="364" t="e">
        <f t="shared" si="13"/>
        <v>#N/A</v>
      </c>
      <c r="I49" s="42"/>
      <c r="J49" s="42"/>
      <c r="K49" s="42"/>
      <c r="L49" s="333" t="e">
        <f t="shared" si="14"/>
        <v>#N/A</v>
      </c>
      <c r="M49" s="334" t="e">
        <f t="shared" si="21"/>
        <v>#N/A</v>
      </c>
      <c r="N49" s="335" t="e">
        <f t="shared" si="15"/>
        <v>#N/A</v>
      </c>
      <c r="O49" s="336"/>
      <c r="P49" s="337"/>
      <c r="Q49" s="317" t="e">
        <f t="shared" si="19"/>
        <v>#N/A</v>
      </c>
      <c r="R49" s="329"/>
      <c r="S49" s="329" t="e">
        <f t="shared" si="16"/>
        <v>#N/A</v>
      </c>
      <c r="T49" s="385" t="e">
        <f t="shared" si="17"/>
        <v>#N/A</v>
      </c>
      <c r="U49" s="392">
        <f t="shared" si="20"/>
        <v>0</v>
      </c>
    </row>
    <row r="50" spans="1:21" x14ac:dyDescent="0.25">
      <c r="A50" s="410" t="str">
        <f>IF(Inputs!B30="","",IF(units=2,CONVERT(Inputs!B30,"ft","m"),Inputs!B30))</f>
        <v/>
      </c>
      <c r="B50" s="415" t="str">
        <f>IF(Inputs!G30="","",IF(units=2,CONVERT(Inputs!G30,"ft","m"),Inputs!G30))</f>
        <v/>
      </c>
      <c r="C50" s="409" t="str">
        <f t="shared" si="12"/>
        <v/>
      </c>
      <c r="D50" s="354" t="e">
        <f>IF(A50="",NA(),'PB Liquefaction Initiation'!D60)</f>
        <v>#N/A</v>
      </c>
      <c r="E50" s="295" t="e">
        <f>EXP(('Det Liquefaction Initiation'!K60-(29.06*LN(7.5))+15.25)/13.79)</f>
        <v>#N/A</v>
      </c>
      <c r="F50" s="299" t="e">
        <f t="shared" si="18"/>
        <v>#N/A</v>
      </c>
      <c r="G50" s="364" t="e">
        <f t="shared" si="13"/>
        <v>#N/A</v>
      </c>
      <c r="I50" s="42"/>
      <c r="J50" s="42"/>
      <c r="K50" s="42"/>
      <c r="L50" s="333" t="e">
        <f t="shared" si="14"/>
        <v>#N/A</v>
      </c>
      <c r="M50" s="334" t="e">
        <f t="shared" si="21"/>
        <v>#N/A</v>
      </c>
      <c r="N50" s="335" t="e">
        <f t="shared" si="15"/>
        <v>#N/A</v>
      </c>
      <c r="O50" s="336"/>
      <c r="P50" s="337"/>
      <c r="Q50" s="317" t="e">
        <f t="shared" si="19"/>
        <v>#N/A</v>
      </c>
      <c r="R50" s="329"/>
      <c r="S50" s="329" t="e">
        <f t="shared" si="16"/>
        <v>#N/A</v>
      </c>
      <c r="T50" s="385" t="e">
        <f t="shared" si="17"/>
        <v>#N/A</v>
      </c>
      <c r="U50" s="392">
        <f t="shared" si="20"/>
        <v>0</v>
      </c>
    </row>
    <row r="51" spans="1:21" x14ac:dyDescent="0.25">
      <c r="A51" s="410" t="str">
        <f>IF(Inputs!B31="","",IF(units=2,CONVERT(Inputs!B31,"ft","m"),Inputs!B31))</f>
        <v/>
      </c>
      <c r="B51" s="415" t="str">
        <f>IF(Inputs!G31="","",IF(units=2,CONVERT(Inputs!G31,"ft","m"),Inputs!G31))</f>
        <v/>
      </c>
      <c r="C51" s="409" t="str">
        <f t="shared" si="12"/>
        <v/>
      </c>
      <c r="D51" s="354" t="e">
        <f>IF(A51="",NA(),'PB Liquefaction Initiation'!D61)</f>
        <v>#N/A</v>
      </c>
      <c r="E51" s="295" t="e">
        <f>EXP(('Det Liquefaction Initiation'!K61-(29.06*LN(7.5))+15.25)/13.79)</f>
        <v>#N/A</v>
      </c>
      <c r="F51" s="299" t="e">
        <f t="shared" si="18"/>
        <v>#N/A</v>
      </c>
      <c r="G51" s="364" t="e">
        <f t="shared" si="13"/>
        <v>#N/A</v>
      </c>
      <c r="I51" s="42"/>
      <c r="J51" s="42"/>
      <c r="K51" s="42"/>
      <c r="L51" s="333" t="e">
        <f t="shared" si="14"/>
        <v>#N/A</v>
      </c>
      <c r="M51" s="334" t="e">
        <f t="shared" si="21"/>
        <v>#N/A</v>
      </c>
      <c r="N51" s="335" t="e">
        <f t="shared" si="15"/>
        <v>#N/A</v>
      </c>
      <c r="O51" s="336"/>
      <c r="P51" s="337"/>
      <c r="Q51" s="317" t="e">
        <f t="shared" si="19"/>
        <v>#N/A</v>
      </c>
      <c r="R51" s="329"/>
      <c r="S51" s="329" t="e">
        <f t="shared" si="16"/>
        <v>#N/A</v>
      </c>
      <c r="T51" s="385" t="e">
        <f t="shared" si="17"/>
        <v>#N/A</v>
      </c>
      <c r="U51" s="392">
        <f t="shared" si="20"/>
        <v>0</v>
      </c>
    </row>
    <row r="52" spans="1:21" ht="16.5" thickBot="1" x14ac:dyDescent="0.3">
      <c r="A52" s="412" t="str">
        <f>IF(Inputs!B32="","",IF(units=2,CONVERT(Inputs!B32,"ft","m"),Inputs!B32))</f>
        <v/>
      </c>
      <c r="B52" s="416" t="str">
        <f>IF(Inputs!G32="","",IF(units=2,CONVERT(Inputs!G32,"ft","m"),Inputs!G32))</f>
        <v/>
      </c>
      <c r="C52" s="414" t="str">
        <f t="shared" si="12"/>
        <v/>
      </c>
      <c r="D52" s="357" t="e">
        <f>IF(A52="",NA(),'PB Liquefaction Initiation'!D62)</f>
        <v>#N/A</v>
      </c>
      <c r="E52" s="358" t="e">
        <f>EXP(('Det Liquefaction Initiation'!K62-(29.06*LN(7.5))+15.25)/13.79)</f>
        <v>#N/A</v>
      </c>
      <c r="F52" s="365" t="e">
        <f t="shared" si="18"/>
        <v>#N/A</v>
      </c>
      <c r="G52" s="366" t="e">
        <f t="shared" si="13"/>
        <v>#N/A</v>
      </c>
      <c r="I52" s="42"/>
      <c r="J52" s="42"/>
      <c r="K52" s="42"/>
      <c r="L52" s="338" t="e">
        <f t="shared" si="14"/>
        <v>#N/A</v>
      </c>
      <c r="M52" s="339" t="e">
        <f t="shared" si="21"/>
        <v>#N/A</v>
      </c>
      <c r="N52" s="340" t="e">
        <f t="shared" si="15"/>
        <v>#N/A</v>
      </c>
      <c r="O52" s="341"/>
      <c r="P52" s="342"/>
      <c r="Q52" s="318" t="e">
        <f t="shared" si="19"/>
        <v>#N/A</v>
      </c>
      <c r="R52" s="331"/>
      <c r="S52" s="331" t="e">
        <f t="shared" si="16"/>
        <v>#N/A</v>
      </c>
      <c r="T52" s="386" t="e">
        <f t="shared" si="17"/>
        <v>#N/A</v>
      </c>
      <c r="U52" s="393">
        <f>IF(OR(C52="",C52="Not_susc."),0,T52)</f>
        <v>0</v>
      </c>
    </row>
  </sheetData>
  <sheetProtection password="C5B9" sheet="1" objects="1" scenarios="1"/>
  <mergeCells count="6">
    <mergeCell ref="L31:P31"/>
    <mergeCell ref="Q31:U31"/>
    <mergeCell ref="D31:G31"/>
    <mergeCell ref="D5:K5"/>
    <mergeCell ref="L5:P5"/>
    <mergeCell ref="Q5:U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theme="9" tint="0.79998168889431442"/>
  </sheetPr>
  <dimension ref="B1:Q25"/>
  <sheetViews>
    <sheetView workbookViewId="0"/>
  </sheetViews>
  <sheetFormatPr defaultRowHeight="15.75" x14ac:dyDescent="0.25"/>
  <sheetData>
    <row r="1" spans="2:17" x14ac:dyDescent="0.25">
      <c r="B1" s="2" t="s">
        <v>103</v>
      </c>
    </row>
    <row r="2" spans="2:17" x14ac:dyDescent="0.25">
      <c r="G2" s="2" t="s">
        <v>2</v>
      </c>
    </row>
    <row r="3" spans="2:17" x14ac:dyDescent="0.25">
      <c r="B3" s="644" t="s">
        <v>1</v>
      </c>
      <c r="C3" s="644"/>
      <c r="D3" s="644"/>
      <c r="E3" s="644"/>
      <c r="O3" s="645" t="s">
        <v>104</v>
      </c>
      <c r="P3" s="645"/>
      <c r="Q3" s="645"/>
    </row>
    <row r="4" spans="2:17" x14ac:dyDescent="0.25">
      <c r="B4" s="53" t="s">
        <v>105</v>
      </c>
      <c r="C4" s="54"/>
      <c r="D4" s="54"/>
      <c r="E4" s="55"/>
      <c r="O4" s="43"/>
      <c r="P4" s="56" t="s">
        <v>106</v>
      </c>
      <c r="Q4" s="56" t="s">
        <v>107</v>
      </c>
    </row>
    <row r="5" spans="2:17" ht="17.25" x14ac:dyDescent="0.3">
      <c r="B5" s="57" t="s">
        <v>99</v>
      </c>
      <c r="C5" s="58">
        <f>IF(S_prob="","",S_prob)</f>
        <v>1.5</v>
      </c>
      <c r="D5" s="1" t="s">
        <v>24</v>
      </c>
      <c r="E5" s="59"/>
      <c r="O5" s="56" t="s">
        <v>108</v>
      </c>
      <c r="P5" s="42">
        <v>-16.213000000000001</v>
      </c>
      <c r="Q5" s="42">
        <v>-16.713000000000001</v>
      </c>
    </row>
    <row r="6" spans="2:17" ht="17.25" x14ac:dyDescent="0.3">
      <c r="B6" s="57" t="s">
        <v>101</v>
      </c>
      <c r="C6" s="58">
        <f>IF(W_prob="","",W_prob)</f>
        <v>16</v>
      </c>
      <c r="D6" s="1" t="s">
        <v>24</v>
      </c>
      <c r="E6" s="59"/>
      <c r="O6" s="56" t="s">
        <v>109</v>
      </c>
      <c r="P6" s="42">
        <v>1.532</v>
      </c>
      <c r="Q6" s="42">
        <v>1.532</v>
      </c>
    </row>
    <row r="7" spans="2:17" ht="18.75" x14ac:dyDescent="0.35">
      <c r="B7" s="57" t="s">
        <v>102</v>
      </c>
      <c r="C7" s="58">
        <f>IF(T15_prob="","",IF(units=2,CONVERT(T15_prob,"ft","m"),T15_prob))</f>
        <v>3.048</v>
      </c>
      <c r="D7" s="1" t="s">
        <v>23</v>
      </c>
      <c r="E7" s="59"/>
      <c r="O7" s="56" t="s">
        <v>110</v>
      </c>
      <c r="P7" s="42">
        <v>-1.4059999999999999</v>
      </c>
      <c r="Q7" s="42">
        <v>-1.4059999999999999</v>
      </c>
    </row>
    <row r="8" spans="2:17" ht="18.75" x14ac:dyDescent="0.35">
      <c r="B8" s="57" t="s">
        <v>100</v>
      </c>
      <c r="C8" s="58">
        <f>IF(F15_prob="","",F15_prob)</f>
        <v>11</v>
      </c>
      <c r="D8" s="1" t="s">
        <v>24</v>
      </c>
      <c r="E8" s="59"/>
      <c r="O8" s="56" t="s">
        <v>111</v>
      </c>
      <c r="P8" s="42">
        <v>-1.2E-2</v>
      </c>
      <c r="Q8" s="42">
        <v>-1.2E-2</v>
      </c>
    </row>
    <row r="9" spans="2:17" ht="18.75" x14ac:dyDescent="0.35">
      <c r="B9" s="57" t="s">
        <v>189</v>
      </c>
      <c r="C9" s="58">
        <f>IF(D50_prob="","",D50_prob)</f>
        <v>5</v>
      </c>
      <c r="D9" s="1" t="s">
        <v>76</v>
      </c>
      <c r="E9" s="59"/>
      <c r="O9" s="56" t="s">
        <v>112</v>
      </c>
      <c r="P9" s="42">
        <v>0</v>
      </c>
      <c r="Q9" s="42">
        <v>0.59199999999999997</v>
      </c>
    </row>
    <row r="10" spans="2:17" ht="17.25" x14ac:dyDescent="0.3">
      <c r="B10" s="57"/>
      <c r="C10" s="1"/>
      <c r="D10" s="1"/>
      <c r="E10" s="59"/>
      <c r="O10" s="56" t="s">
        <v>113</v>
      </c>
      <c r="P10" s="42">
        <v>0.33800000000000002</v>
      </c>
      <c r="Q10" s="42">
        <v>0</v>
      </c>
    </row>
    <row r="11" spans="2:17" ht="17.25" x14ac:dyDescent="0.3">
      <c r="B11" s="60" t="s">
        <v>114</v>
      </c>
      <c r="C11" s="1"/>
      <c r="D11" s="1"/>
      <c r="E11" s="59"/>
      <c r="O11" s="56" t="s">
        <v>115</v>
      </c>
      <c r="P11" s="42">
        <v>0.54</v>
      </c>
      <c r="Q11" s="42">
        <v>0.54</v>
      </c>
    </row>
    <row r="12" spans="2:17" ht="18.75" x14ac:dyDescent="0.3">
      <c r="B12" s="646" t="s">
        <v>116</v>
      </c>
      <c r="C12" s="647"/>
      <c r="D12" s="58">
        <f>IF(Dh_ref="","",Dh_ref)</f>
        <v>0.55000000000000004</v>
      </c>
      <c r="E12" s="59" t="s">
        <v>23</v>
      </c>
      <c r="G12" s="2" t="s">
        <v>1</v>
      </c>
      <c r="O12" s="56" t="s">
        <v>117</v>
      </c>
      <c r="P12" s="42">
        <v>3.4129999999999998</v>
      </c>
      <c r="Q12" s="42">
        <v>3.4129999999999998</v>
      </c>
    </row>
    <row r="13" spans="2:17" ht="17.25" x14ac:dyDescent="0.3">
      <c r="B13" s="648" t="s">
        <v>17</v>
      </c>
      <c r="C13" s="649"/>
      <c r="D13" s="61" t="str">
        <f>IF(Inputs!G51="","",Inputs!G51)</f>
        <v/>
      </c>
      <c r="E13" s="62"/>
      <c r="O13" s="56" t="s">
        <v>118</v>
      </c>
      <c r="P13" s="42">
        <v>-0.79500000000000004</v>
      </c>
      <c r="Q13" s="42">
        <v>-0.79500000000000004</v>
      </c>
    </row>
    <row r="14" spans="2:17" x14ac:dyDescent="0.25">
      <c r="B14" s="16"/>
    </row>
    <row r="15" spans="2:17" x14ac:dyDescent="0.25">
      <c r="B15" s="644" t="s">
        <v>119</v>
      </c>
      <c r="C15" s="644"/>
      <c r="D15" s="644"/>
      <c r="E15" s="644"/>
    </row>
    <row r="16" spans="2:17" x14ac:dyDescent="0.25">
      <c r="B16" s="652" t="s">
        <v>121</v>
      </c>
      <c r="C16" s="653"/>
      <c r="D16" s="112">
        <f>IF(OR(R_LS_det="", Det_LS_option=FALSE),"",R_LS_det)</f>
        <v>1.1100000000000001</v>
      </c>
      <c r="E16" s="55" t="s">
        <v>122</v>
      </c>
    </row>
    <row r="17" spans="2:8" x14ac:dyDescent="0.25">
      <c r="B17" s="650" t="s">
        <v>120</v>
      </c>
      <c r="C17" s="651"/>
      <c r="D17" s="58">
        <f>IF(OR(Mw_LS_det="",Det_LS_option=FALSE),"",Mw_LS_det)</f>
        <v>7</v>
      </c>
      <c r="E17" s="59"/>
    </row>
    <row r="18" spans="2:8" x14ac:dyDescent="0.25">
      <c r="B18" s="654" t="s">
        <v>40</v>
      </c>
      <c r="C18" s="655"/>
      <c r="D18" s="61">
        <f>IF(OR(Percentile_LS="",Det_LS_option=FALSE),"",Percentile_LS)</f>
        <v>85</v>
      </c>
      <c r="E18" s="62"/>
    </row>
    <row r="23" spans="2:8" x14ac:dyDescent="0.25">
      <c r="B23" s="643" t="s">
        <v>123</v>
      </c>
      <c r="C23" s="643"/>
      <c r="D23" s="643"/>
      <c r="F23" s="644" t="s">
        <v>124</v>
      </c>
      <c r="G23" s="644"/>
      <c r="H23" s="644"/>
    </row>
    <row r="24" spans="2:8" ht="19.5" thickBot="1" x14ac:dyDescent="0.3">
      <c r="B24" s="63" t="s">
        <v>125</v>
      </c>
      <c r="C24" s="64">
        <f>IF(D12="","",9.043+IF(LS_GS_Opt="GS",P5,Q5)+IF(LS_GS_Opt="GS",P9,Q9)*LOG(C6+0.0000001)+IF(LS_GS_Opt="GS",P10,Q10)*LOG(C5+0.000001)+0.54*LOG(C7)+3.413*LOG(100-C8)-0.795*LOG(C9+0.1))</f>
        <v>-0.75836317405647968</v>
      </c>
      <c r="D24" s="55"/>
      <c r="F24" s="641" t="s">
        <v>40</v>
      </c>
      <c r="G24" s="642"/>
      <c r="H24" s="166">
        <f>IF(D18="","",D18)</f>
        <v>85</v>
      </c>
    </row>
    <row r="25" spans="2:8" ht="19.5" thickBot="1" x14ac:dyDescent="0.4">
      <c r="B25" s="66" t="s">
        <v>126</v>
      </c>
      <c r="C25" s="67">
        <f>IF(C24="","",10^(D12+C24))</f>
        <v>0.61892329071311147</v>
      </c>
      <c r="D25" s="62" t="s">
        <v>23</v>
      </c>
      <c r="F25" s="103" t="s">
        <v>247</v>
      </c>
      <c r="G25" s="65">
        <f>IF(OR(H24="",Det_LS_option=FALSE),"",10^((IF(LS_GS_Opt="GS",P5,Q5)+P6*D17+P7*LOG(D16+10^(0.89*D17-5.64))+P8*D16+IF(LS_GS_Opt="GS",P9,Q9)*LOG(C6+0.0000001)+IF(LS_GS_Opt="GS",P10,Q10)*LOG(C5+0.00002)+P11*LOG(C7)+P12*LOG(100-C8)+P13*LOG(C9+0.1))+_xlfn.NORM.S.INV(H24/100)*0.197))</f>
        <v>1.3511050172632262</v>
      </c>
      <c r="H25" s="62" t="s">
        <v>23</v>
      </c>
    </row>
  </sheetData>
  <sheetProtection password="C5B9" sheet="1" objects="1" scenarios="1"/>
  <mergeCells count="11">
    <mergeCell ref="F24:G24"/>
    <mergeCell ref="B23:D23"/>
    <mergeCell ref="F23:H23"/>
    <mergeCell ref="B3:E3"/>
    <mergeCell ref="O3:Q3"/>
    <mergeCell ref="B12:C12"/>
    <mergeCell ref="B13:C13"/>
    <mergeCell ref="B15:E15"/>
    <mergeCell ref="B17:C17"/>
    <mergeCell ref="B16:C16"/>
    <mergeCell ref="B18:C18"/>
  </mergeCells>
  <pageMargins left="0.7" right="0.7" top="0.75" bottom="0.75" header="0.3" footer="0.3"/>
  <pageSetup orientation="portrait" horizontalDpi="1200" verticalDpi="1200" r:id="rId1"/>
  <drawing r:id="rId2"/>
  <legacyDrawing r:id="rId3"/>
  <oleObjects>
    <mc:AlternateContent xmlns:mc="http://schemas.openxmlformats.org/markup-compatibility/2006">
      <mc:Choice Requires="x14">
        <oleObject progId="Equation.DSMT4" shapeId="3080" r:id="rId4">
          <objectPr defaultSize="0" autoPict="0" r:id="rId5">
            <anchor moveWithCells="1" sizeWithCells="1">
              <from>
                <xdr:col>7</xdr:col>
                <xdr:colOff>0</xdr:colOff>
                <xdr:row>12</xdr:row>
                <xdr:rowOff>104775</xdr:rowOff>
              </from>
              <to>
                <xdr:col>9</xdr:col>
                <xdr:colOff>533400</xdr:colOff>
                <xdr:row>13</xdr:row>
                <xdr:rowOff>180975</xdr:rowOff>
              </to>
            </anchor>
          </objectPr>
        </oleObject>
      </mc:Choice>
      <mc:Fallback>
        <oleObject progId="Equation.DSMT4" shapeId="3080" r:id="rId4"/>
      </mc:Fallback>
    </mc:AlternateContent>
    <mc:AlternateContent xmlns:mc="http://schemas.openxmlformats.org/markup-compatibility/2006">
      <mc:Choice Requires="x14">
        <oleObject progId="Equation.DSMT4" shapeId="3081" r:id="rId6">
          <objectPr defaultSize="0" autoPict="0" r:id="rId7">
            <anchor moveWithCells="1" sizeWithCells="1">
              <from>
                <xdr:col>7</xdr:col>
                <xdr:colOff>0</xdr:colOff>
                <xdr:row>18</xdr:row>
                <xdr:rowOff>180975</xdr:rowOff>
              </from>
              <to>
                <xdr:col>9</xdr:col>
                <xdr:colOff>381000</xdr:colOff>
                <xdr:row>20</xdr:row>
                <xdr:rowOff>95250</xdr:rowOff>
              </to>
            </anchor>
          </objectPr>
        </oleObject>
      </mc:Choice>
      <mc:Fallback>
        <oleObject progId="Equation.DSMT4" shapeId="3081" r:id="rId6"/>
      </mc:Fallback>
    </mc:AlternateContent>
    <mc:AlternateContent xmlns:mc="http://schemas.openxmlformats.org/markup-compatibility/2006">
      <mc:Choice Requires="x14">
        <oleObject progId="Equation.DSMT4" shapeId="3082" r:id="rId8">
          <objectPr defaultSize="0" autoPict="0" r:id="rId9">
            <anchor moveWithCells="1" sizeWithCells="1">
              <from>
                <xdr:col>7</xdr:col>
                <xdr:colOff>0</xdr:colOff>
                <xdr:row>14</xdr:row>
                <xdr:rowOff>180975</xdr:rowOff>
              </from>
              <to>
                <xdr:col>13</xdr:col>
                <xdr:colOff>295275</xdr:colOff>
                <xdr:row>18</xdr:row>
                <xdr:rowOff>19050</xdr:rowOff>
              </to>
            </anchor>
          </objectPr>
        </oleObject>
      </mc:Choice>
      <mc:Fallback>
        <oleObject progId="Equation.DSMT4" shapeId="3082" r:id="rId8"/>
      </mc:Fallback>
    </mc:AlternateContent>
    <mc:AlternateContent xmlns:mc="http://schemas.openxmlformats.org/markup-compatibility/2006">
      <mc:Choice Requires="x14">
        <oleObject progId="Equation.DSMT4" shapeId="3083" r:id="rId10">
          <objectPr defaultSize="0" autoPict="0" r:id="rId11">
            <anchor moveWithCells="1" sizeWithCells="1">
              <from>
                <xdr:col>7</xdr:col>
                <xdr:colOff>0</xdr:colOff>
                <xdr:row>2</xdr:row>
                <xdr:rowOff>104775</xdr:rowOff>
              </from>
              <to>
                <xdr:col>13</xdr:col>
                <xdr:colOff>57150</xdr:colOff>
                <xdr:row>5</xdr:row>
                <xdr:rowOff>76200</xdr:rowOff>
              </to>
            </anchor>
          </objectPr>
        </oleObject>
      </mc:Choice>
      <mc:Fallback>
        <oleObject progId="Equation.DSMT4" shapeId="3083" r:id="rId10"/>
      </mc:Fallback>
    </mc:AlternateContent>
    <mc:AlternateContent xmlns:mc="http://schemas.openxmlformats.org/markup-compatibility/2006">
      <mc:Choice Requires="x14">
        <oleObject progId="Equation.DSMT4" shapeId="3084" r:id="rId12">
          <objectPr defaultSize="0" autoPict="0" r:id="rId13">
            <anchor moveWithCells="1" sizeWithCells="1">
              <from>
                <xdr:col>7</xdr:col>
                <xdr:colOff>0</xdr:colOff>
                <xdr:row>6</xdr:row>
                <xdr:rowOff>0</xdr:rowOff>
              </from>
              <to>
                <xdr:col>9</xdr:col>
                <xdr:colOff>142875</xdr:colOff>
                <xdr:row>7</xdr:row>
                <xdr:rowOff>38100</xdr:rowOff>
              </to>
            </anchor>
          </objectPr>
        </oleObject>
      </mc:Choice>
      <mc:Fallback>
        <oleObject progId="Equation.DSMT4" shapeId="3084" r:id="rId12"/>
      </mc:Fallback>
    </mc:AlternateContent>
    <mc:AlternateContent xmlns:mc="http://schemas.openxmlformats.org/markup-compatibility/2006">
      <mc:Choice Requires="x14">
        <oleObject progId="Equation.DSMT4" shapeId="3085" r:id="rId14">
          <objectPr defaultSize="0" autoPict="0" r:id="rId15">
            <anchor moveWithCells="1" sizeWithCells="1">
              <from>
                <xdr:col>7</xdr:col>
                <xdr:colOff>0</xdr:colOff>
                <xdr:row>8</xdr:row>
                <xdr:rowOff>0</xdr:rowOff>
              </from>
              <to>
                <xdr:col>8</xdr:col>
                <xdr:colOff>219075</xdr:colOff>
                <xdr:row>9</xdr:row>
                <xdr:rowOff>47625</xdr:rowOff>
              </to>
            </anchor>
          </objectPr>
        </oleObject>
      </mc:Choice>
      <mc:Fallback>
        <oleObject progId="Equation.DSMT4" shapeId="3085" r:id="rId14"/>
      </mc:Fallback>
    </mc:AlternateContent>
  </oleObjec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E9D7FD"/>
  </sheetPr>
  <dimension ref="A1:W60"/>
  <sheetViews>
    <sheetView workbookViewId="0"/>
  </sheetViews>
  <sheetFormatPr defaultRowHeight="15.75" x14ac:dyDescent="0.25"/>
  <sheetData>
    <row r="1" spans="1:7" x14ac:dyDescent="0.25">
      <c r="A1" s="2" t="s">
        <v>324</v>
      </c>
    </row>
    <row r="2" spans="1:7" x14ac:dyDescent="0.25">
      <c r="A2" s="2"/>
    </row>
    <row r="3" spans="1:7" x14ac:dyDescent="0.25">
      <c r="B3" s="656" t="s">
        <v>1</v>
      </c>
      <c r="C3" s="656"/>
      <c r="D3" s="656"/>
    </row>
    <row r="4" spans="1:7" x14ac:dyDescent="0.25">
      <c r="B4" s="53" t="s">
        <v>326</v>
      </c>
      <c r="C4" s="424"/>
      <c r="D4" s="55"/>
      <c r="G4" s="2" t="s">
        <v>2</v>
      </c>
    </row>
    <row r="5" spans="1:7" x14ac:dyDescent="0.25">
      <c r="B5" s="425"/>
      <c r="C5" s="1"/>
      <c r="D5" s="59"/>
    </row>
    <row r="6" spans="1:7" ht="18" x14ac:dyDescent="0.25">
      <c r="B6" s="420" t="s">
        <v>329</v>
      </c>
      <c r="C6" s="430">
        <f>IF(ky_site="","",ky_site)</f>
        <v>0.2</v>
      </c>
      <c r="D6" s="59"/>
    </row>
    <row r="7" spans="1:7" ht="18" x14ac:dyDescent="0.25">
      <c r="B7" s="421" t="s">
        <v>330</v>
      </c>
      <c r="C7" s="430">
        <f>IF(Fpga="","",Fpga)</f>
        <v>1.06</v>
      </c>
      <c r="D7" s="59"/>
    </row>
    <row r="8" spans="1:7" x14ac:dyDescent="0.25">
      <c r="B8" s="423" t="s">
        <v>328</v>
      </c>
      <c r="C8" s="431">
        <f>IF(PGA_prob="","",PGA_prob)</f>
        <v>0.44</v>
      </c>
      <c r="D8" s="59"/>
    </row>
    <row r="9" spans="1:7" ht="18.75" x14ac:dyDescent="0.35">
      <c r="B9" s="423" t="s">
        <v>334</v>
      </c>
      <c r="C9" s="431">
        <f>IF(Mw_prob="","",Mw_prob)</f>
        <v>6.77</v>
      </c>
      <c r="D9" s="59"/>
    </row>
    <row r="10" spans="1:7" x14ac:dyDescent="0.25">
      <c r="B10" s="425"/>
      <c r="C10" s="1"/>
      <c r="D10" s="59"/>
    </row>
    <row r="11" spans="1:7" x14ac:dyDescent="0.25">
      <c r="B11" s="426" t="s">
        <v>327</v>
      </c>
      <c r="C11" s="1"/>
      <c r="D11" s="59"/>
    </row>
    <row r="12" spans="1:7" ht="18" x14ac:dyDescent="0.25">
      <c r="B12" s="420" t="s">
        <v>332</v>
      </c>
      <c r="C12" s="432">
        <v>0.1</v>
      </c>
      <c r="D12" s="59"/>
    </row>
    <row r="13" spans="1:7" ht="18" x14ac:dyDescent="0.25">
      <c r="B13" s="421" t="s">
        <v>333</v>
      </c>
      <c r="C13" s="423">
        <v>1</v>
      </c>
      <c r="D13" s="59"/>
    </row>
    <row r="14" spans="1:7" ht="18" x14ac:dyDescent="0.25">
      <c r="B14" s="420" t="s">
        <v>343</v>
      </c>
      <c r="C14" s="431">
        <f>IF(D_ref_RS="","",D_ref_RS)</f>
        <v>2.4300000000000002</v>
      </c>
      <c r="D14" s="62"/>
    </row>
    <row r="16" spans="1:7" x14ac:dyDescent="0.25">
      <c r="B16" s="2" t="s">
        <v>119</v>
      </c>
      <c r="G16" s="2" t="s">
        <v>325</v>
      </c>
    </row>
    <row r="17" spans="1:23" x14ac:dyDescent="0.25">
      <c r="B17" s="53" t="s">
        <v>335</v>
      </c>
      <c r="C17" s="55"/>
    </row>
    <row r="18" spans="1:23" x14ac:dyDescent="0.25">
      <c r="B18" s="425"/>
      <c r="C18" s="59"/>
      <c r="D18" s="1"/>
    </row>
    <row r="19" spans="1:23" ht="16.5" x14ac:dyDescent="0.25">
      <c r="B19" s="420" t="s">
        <v>336</v>
      </c>
      <c r="C19" s="430">
        <f>IF(ky_site="","",ky_site)</f>
        <v>0.2</v>
      </c>
      <c r="D19" s="1"/>
    </row>
    <row r="20" spans="1:23" x14ac:dyDescent="0.25">
      <c r="B20" s="423" t="s">
        <v>328</v>
      </c>
      <c r="C20" s="431">
        <f>IF(PGA_det="","",PGA_det)</f>
        <v>0.73</v>
      </c>
      <c r="D20" s="1"/>
    </row>
    <row r="21" spans="1:23" ht="18.75" x14ac:dyDescent="0.35">
      <c r="B21" s="423" t="s">
        <v>334</v>
      </c>
      <c r="C21" s="431">
        <f>IF(Mw_det="","",Mw_det)</f>
        <v>6.8</v>
      </c>
      <c r="D21" s="1"/>
    </row>
    <row r="22" spans="1:23" x14ac:dyDescent="0.25">
      <c r="B22" s="422" t="s">
        <v>337</v>
      </c>
      <c r="C22" s="431">
        <f>IF(Percentile_Slope="","",Percentile_Slope)</f>
        <v>85</v>
      </c>
      <c r="D22" s="1"/>
    </row>
    <row r="23" spans="1:23" x14ac:dyDescent="0.25">
      <c r="B23" s="1"/>
      <c r="C23" s="1"/>
      <c r="D23" s="1"/>
    </row>
    <row r="27" spans="1:23" x14ac:dyDescent="0.25">
      <c r="B27" s="643" t="s">
        <v>123</v>
      </c>
      <c r="C27" s="643"/>
      <c r="D27" s="643"/>
      <c r="F27" s="644" t="s">
        <v>124</v>
      </c>
      <c r="G27" s="644"/>
      <c r="H27" s="644"/>
    </row>
    <row r="28" spans="1:23" ht="16.5" thickBot="1" x14ac:dyDescent="0.3">
      <c r="B28" s="63" t="s">
        <v>338</v>
      </c>
      <c r="C28" s="433">
        <f>IF(AND(C8&lt;0.1,C6&lt;0.17)," ",IF(C12=" "," ",4.85/$C$8*($C$12/Fpga_ref_SS-$C$6/$C$7)+19.64/($C$8)^2*(($C$12/Fpga_ref_SS)^2-($C$6/$C$7)^2)+42.49/($C$8)^3*(($C$6/$C$7)^3-($C$12/Fpga_ref_SS)^3)+29.06/($C$8)^4*(($C$12/Fpga_ref_SS)^4-($C$6/$C$7)^4)+0.79*LN($C$7/Fpga_ref_SS)))</f>
        <v>-1.5819112973086147</v>
      </c>
      <c r="D28" s="55"/>
      <c r="F28" s="641" t="s">
        <v>40</v>
      </c>
      <c r="G28" s="642"/>
      <c r="H28" s="428">
        <f>C22</f>
        <v>85</v>
      </c>
      <c r="I28">
        <f>_xlfn.NORM.S.INV(H28/100)</f>
        <v>1.0364333894937898</v>
      </c>
    </row>
    <row r="29" spans="1:23" ht="19.5" thickBot="1" x14ac:dyDescent="0.4">
      <c r="B29" s="66" t="s">
        <v>342</v>
      </c>
      <c r="C29" s="67">
        <f>IF(AND(C8&lt;=0.1,C6&lt;=0.17)," ",IF($C$14="  ","  ",$C$14*EXP($C$28)))</f>
        <v>0.49956376071736924</v>
      </c>
      <c r="D29" s="62" t="s">
        <v>341</v>
      </c>
      <c r="F29" s="103" t="s">
        <v>247</v>
      </c>
      <c r="G29" s="65">
        <f>EXP(4.89-4.85*($C$19/$C$20)-19.64*($C$19/$C$20)^2+42.49*($C$19/$C$20)^3-29.06*($C$19/$C$20)^4+0.72*LN($C$20)+0.89*($C$21-6)+I28*(0.732+0.789*(C19/C20)-0.539*(C19/C20)^2))</f>
        <v>68.2573000239789</v>
      </c>
      <c r="H29" s="62" t="s">
        <v>341</v>
      </c>
    </row>
    <row r="31" spans="1:23" x14ac:dyDescent="0.25">
      <c r="A31" s="429"/>
      <c r="B31" s="429"/>
      <c r="C31" s="429"/>
      <c r="D31" s="429"/>
      <c r="E31" s="429"/>
      <c r="F31" s="429"/>
      <c r="G31" s="429"/>
      <c r="H31" s="429"/>
      <c r="I31" s="429"/>
      <c r="J31" s="429"/>
      <c r="K31" s="429"/>
      <c r="L31" s="429"/>
      <c r="M31" s="429"/>
      <c r="N31" s="429"/>
      <c r="O31" s="429"/>
      <c r="P31" s="429"/>
      <c r="Q31" s="429"/>
      <c r="R31" s="429"/>
      <c r="S31" s="429"/>
      <c r="T31" s="429"/>
      <c r="U31" s="429"/>
      <c r="V31" s="429"/>
      <c r="W31" s="429"/>
    </row>
    <row r="32" spans="1:23" x14ac:dyDescent="0.25">
      <c r="A32" s="2" t="s">
        <v>344</v>
      </c>
    </row>
    <row r="33" spans="1:7" x14ac:dyDescent="0.25">
      <c r="A33" s="2"/>
    </row>
    <row r="34" spans="1:7" x14ac:dyDescent="0.25">
      <c r="B34" s="656" t="s">
        <v>1</v>
      </c>
      <c r="C34" s="656"/>
      <c r="D34" s="656"/>
    </row>
    <row r="35" spans="1:7" x14ac:dyDescent="0.25">
      <c r="B35" s="427" t="s">
        <v>326</v>
      </c>
      <c r="C35" s="1"/>
      <c r="D35" s="1"/>
      <c r="G35" s="2" t="s">
        <v>2</v>
      </c>
    </row>
    <row r="36" spans="1:7" x14ac:dyDescent="0.25">
      <c r="B36" s="434"/>
      <c r="C36" s="424"/>
      <c r="D36" s="55"/>
    </row>
    <row r="37" spans="1:7" ht="18" x14ac:dyDescent="0.25">
      <c r="B37" s="420" t="s">
        <v>329</v>
      </c>
      <c r="C37" s="430">
        <f>IF(ky_site="","",ky_site)</f>
        <v>0.2</v>
      </c>
      <c r="D37" s="59"/>
    </row>
    <row r="38" spans="1:7" ht="18" x14ac:dyDescent="0.25">
      <c r="B38" s="421" t="s">
        <v>330</v>
      </c>
      <c r="C38" s="430">
        <f>IF(Fpga="","",Fpga)</f>
        <v>1.06</v>
      </c>
      <c r="D38" s="59"/>
    </row>
    <row r="39" spans="1:7" x14ac:dyDescent="0.25">
      <c r="B39" s="423" t="s">
        <v>328</v>
      </c>
      <c r="C39" s="431">
        <f>IF(PGA_prob="","",PGA_prob)</f>
        <v>0.44</v>
      </c>
      <c r="D39" s="59"/>
    </row>
    <row r="40" spans="1:7" ht="18.75" x14ac:dyDescent="0.35">
      <c r="B40" s="423" t="s">
        <v>334</v>
      </c>
      <c r="C40" s="431">
        <f>IF(Mw_prob="","",Mw_prob)</f>
        <v>6.77</v>
      </c>
      <c r="D40" s="59"/>
    </row>
    <row r="41" spans="1:7" x14ac:dyDescent="0.25">
      <c r="B41" s="425"/>
      <c r="C41" s="1"/>
      <c r="D41" s="59"/>
    </row>
    <row r="42" spans="1:7" x14ac:dyDescent="0.25">
      <c r="B42" s="426" t="s">
        <v>327</v>
      </c>
      <c r="C42" s="1"/>
      <c r="D42" s="59"/>
    </row>
    <row r="43" spans="1:7" ht="18" x14ac:dyDescent="0.25">
      <c r="B43" s="420" t="s">
        <v>332</v>
      </c>
      <c r="C43" s="432">
        <v>0.1</v>
      </c>
      <c r="D43" s="59"/>
    </row>
    <row r="44" spans="1:7" ht="18" x14ac:dyDescent="0.25">
      <c r="B44" s="421" t="s">
        <v>333</v>
      </c>
      <c r="C44" s="423">
        <v>1</v>
      </c>
      <c r="D44" s="59"/>
    </row>
    <row r="45" spans="1:7" ht="18" x14ac:dyDescent="0.25">
      <c r="B45" s="420" t="s">
        <v>343</v>
      </c>
      <c r="C45" s="431">
        <f>IF(D_ref_BT="","",D_ref_BT)</f>
        <v>2.65</v>
      </c>
      <c r="D45" s="62"/>
    </row>
    <row r="47" spans="1:7" x14ac:dyDescent="0.25">
      <c r="B47" s="2" t="s">
        <v>119</v>
      </c>
      <c r="G47" s="2" t="s">
        <v>325</v>
      </c>
    </row>
    <row r="48" spans="1:7" x14ac:dyDescent="0.25">
      <c r="B48" s="53" t="s">
        <v>335</v>
      </c>
      <c r="C48" s="55"/>
    </row>
    <row r="49" spans="2:9" x14ac:dyDescent="0.25">
      <c r="B49" s="425"/>
      <c r="C49" s="59"/>
      <c r="D49" s="1"/>
    </row>
    <row r="50" spans="2:9" ht="16.5" x14ac:dyDescent="0.25">
      <c r="B50" s="420" t="s">
        <v>336</v>
      </c>
      <c r="C50" s="430">
        <f>IF(ky_site="","",ky_site)</f>
        <v>0.2</v>
      </c>
      <c r="D50" s="1"/>
    </row>
    <row r="51" spans="2:9" x14ac:dyDescent="0.25">
      <c r="B51" s="423" t="s">
        <v>328</v>
      </c>
      <c r="C51" s="431">
        <f>IF(PGA_det="","",PGA_det)</f>
        <v>0.73</v>
      </c>
      <c r="D51" s="1"/>
    </row>
    <row r="52" spans="2:9" ht="18.75" x14ac:dyDescent="0.35">
      <c r="B52" s="423" t="s">
        <v>334</v>
      </c>
      <c r="C52" s="431">
        <f>IF(Mw_det="","",Mw_det)</f>
        <v>6.8</v>
      </c>
      <c r="D52" s="1"/>
    </row>
    <row r="53" spans="2:9" x14ac:dyDescent="0.25">
      <c r="B53" s="422" t="s">
        <v>337</v>
      </c>
      <c r="C53" s="431">
        <f>IF(Percentile_Slope="","",Percentile_Slope)</f>
        <v>85</v>
      </c>
      <c r="D53" s="1"/>
    </row>
    <row r="54" spans="2:9" x14ac:dyDescent="0.25">
      <c r="B54" s="1"/>
      <c r="C54" s="1"/>
      <c r="D54" s="1"/>
    </row>
    <row r="58" spans="2:9" x14ac:dyDescent="0.25">
      <c r="B58" s="643" t="s">
        <v>123</v>
      </c>
      <c r="C58" s="643"/>
      <c r="D58" s="643"/>
      <c r="F58" s="644" t="s">
        <v>124</v>
      </c>
      <c r="G58" s="644"/>
      <c r="H58" s="644"/>
    </row>
    <row r="59" spans="2:9" ht="16.5" thickBot="1" x14ac:dyDescent="0.3">
      <c r="B59" s="63" t="s">
        <v>338</v>
      </c>
      <c r="C59" s="433">
        <f>IF(C45=" "," ",2.83*(LN($C$43/$C$44)-LN($C$37/$C$38))+0.333*(LN($C$43/$C$44)^2-LN($C$37/$C$38)^2)+0.566*LN($C$39)*(LN($C$43/$C$44)-LN($C$37/$C$38)))</f>
        <v>-0.66231631483883291</v>
      </c>
      <c r="D59" s="55"/>
      <c r="F59" s="641" t="s">
        <v>40</v>
      </c>
      <c r="G59" s="642"/>
      <c r="H59" s="428">
        <f>C53</f>
        <v>85</v>
      </c>
      <c r="I59">
        <f>_xlfn.NORM.S.INV(H59/100)</f>
        <v>1.0364333894937898</v>
      </c>
    </row>
    <row r="60" spans="2:9" ht="19.5" thickBot="1" x14ac:dyDescent="0.4">
      <c r="B60" s="66" t="s">
        <v>342</v>
      </c>
      <c r="C60" s="67">
        <f>IF(C59=" "," ",C45*EXP(C59))</f>
        <v>1.3664871532841187</v>
      </c>
      <c r="D60" s="62" t="s">
        <v>341</v>
      </c>
      <c r="F60" s="103" t="s">
        <v>247</v>
      </c>
      <c r="G60" s="65">
        <f>EXP(-0.22-2.83*LN($C$50)-0.333*(LN($C$50))^2+0.566*LN($C$50)*LN($C$51)+3.04*LN($C$51)-0.244*(LN($C$51))^2+0.278*($C$52-7)+I59*0.67)</f>
        <v>30.470196206295391</v>
      </c>
      <c r="H60" s="62" t="s">
        <v>341</v>
      </c>
    </row>
  </sheetData>
  <sheetProtection password="C5B9" sheet="1" objects="1" scenarios="1"/>
  <mergeCells count="8">
    <mergeCell ref="F59:G59"/>
    <mergeCell ref="B3:D3"/>
    <mergeCell ref="B27:D27"/>
    <mergeCell ref="F27:H27"/>
    <mergeCell ref="F28:G28"/>
    <mergeCell ref="B34:D34"/>
    <mergeCell ref="B58:D58"/>
    <mergeCell ref="F58:H58"/>
  </mergeCells>
  <pageMargins left="0.7" right="0.7" top="0.75" bottom="0.75" header="0.3" footer="0.3"/>
  <pageSetup orientation="portrait" horizontalDpi="1200" verticalDpi="1200" r:id="rId1"/>
  <drawing r:id="rId2"/>
  <legacyDrawing r:id="rId3"/>
  <oleObjects>
    <mc:AlternateContent xmlns:mc="http://schemas.openxmlformats.org/markup-compatibility/2006">
      <mc:Choice Requires="x14">
        <oleObject progId="Equation.DSMT4" shapeId="21505" r:id="rId4">
          <objectPr defaultSize="0" autoPict="0" r:id="rId5">
            <anchor moveWithCells="1" sizeWithCells="1">
              <from>
                <xdr:col>6</xdr:col>
                <xdr:colOff>9525</xdr:colOff>
                <xdr:row>4</xdr:row>
                <xdr:rowOff>57150</xdr:rowOff>
              </from>
              <to>
                <xdr:col>16</xdr:col>
                <xdr:colOff>257175</xdr:colOff>
                <xdr:row>6</xdr:row>
                <xdr:rowOff>180975</xdr:rowOff>
              </to>
            </anchor>
          </objectPr>
        </oleObject>
      </mc:Choice>
      <mc:Fallback>
        <oleObject progId="Equation.DSMT4" shapeId="21505" r:id="rId4"/>
      </mc:Fallback>
    </mc:AlternateContent>
    <mc:AlternateContent xmlns:mc="http://schemas.openxmlformats.org/markup-compatibility/2006">
      <mc:Choice Requires="x14">
        <oleObject progId="Equation.DSMT4" shapeId="21506" r:id="rId6">
          <objectPr defaultSize="0" autoPict="0" r:id="rId7">
            <anchor moveWithCells="1" sizeWithCells="1">
              <from>
                <xdr:col>6</xdr:col>
                <xdr:colOff>19050</xdr:colOff>
                <xdr:row>7</xdr:row>
                <xdr:rowOff>142875</xdr:rowOff>
              </from>
              <to>
                <xdr:col>10</xdr:col>
                <xdr:colOff>0</xdr:colOff>
                <xdr:row>10</xdr:row>
                <xdr:rowOff>66675</xdr:rowOff>
              </to>
            </anchor>
          </objectPr>
        </oleObject>
      </mc:Choice>
      <mc:Fallback>
        <oleObject progId="Equation.DSMT4" shapeId="21506" r:id="rId6"/>
      </mc:Fallback>
    </mc:AlternateContent>
    <mc:AlternateContent xmlns:mc="http://schemas.openxmlformats.org/markup-compatibility/2006">
      <mc:Choice Requires="x14">
        <oleObject progId="Equation.DSMT4" shapeId="21507" r:id="rId8">
          <objectPr defaultSize="0" autoPict="0" r:id="rId9">
            <anchor moveWithCells="1" sizeWithCells="1">
              <from>
                <xdr:col>6</xdr:col>
                <xdr:colOff>9525</xdr:colOff>
                <xdr:row>16</xdr:row>
                <xdr:rowOff>95250</xdr:rowOff>
              </from>
              <to>
                <xdr:col>8</xdr:col>
                <xdr:colOff>85725</xdr:colOff>
                <xdr:row>17</xdr:row>
                <xdr:rowOff>104775</xdr:rowOff>
              </to>
            </anchor>
          </objectPr>
        </oleObject>
      </mc:Choice>
      <mc:Fallback>
        <oleObject progId="Equation.DSMT4" shapeId="21507" r:id="rId8"/>
      </mc:Fallback>
    </mc:AlternateContent>
    <mc:AlternateContent xmlns:mc="http://schemas.openxmlformats.org/markup-compatibility/2006">
      <mc:Choice Requires="x14">
        <oleObject progId="Equation.DSMT4" shapeId="21508" r:id="rId10">
          <objectPr defaultSize="0" autoPict="0" r:id="rId11">
            <anchor moveWithCells="1" sizeWithCells="1">
              <from>
                <xdr:col>6</xdr:col>
                <xdr:colOff>28575</xdr:colOff>
                <xdr:row>21</xdr:row>
                <xdr:rowOff>114300</xdr:rowOff>
              </from>
              <to>
                <xdr:col>11</xdr:col>
                <xdr:colOff>238125</xdr:colOff>
                <xdr:row>23</xdr:row>
                <xdr:rowOff>57150</xdr:rowOff>
              </to>
            </anchor>
          </objectPr>
        </oleObject>
      </mc:Choice>
      <mc:Fallback>
        <oleObject progId="Equation.DSMT4" shapeId="21508" r:id="rId10"/>
      </mc:Fallback>
    </mc:AlternateContent>
    <mc:AlternateContent xmlns:mc="http://schemas.openxmlformats.org/markup-compatibility/2006">
      <mc:Choice Requires="x14">
        <oleObject progId="Equation.DSMT4" shapeId="21509" r:id="rId12">
          <objectPr defaultSize="0" autoPict="0" r:id="rId13">
            <anchor moveWithCells="1" sizeWithCells="1">
              <from>
                <xdr:col>6</xdr:col>
                <xdr:colOff>9525</xdr:colOff>
                <xdr:row>18</xdr:row>
                <xdr:rowOff>0</xdr:rowOff>
              </from>
              <to>
                <xdr:col>19</xdr:col>
                <xdr:colOff>466725</xdr:colOff>
                <xdr:row>21</xdr:row>
                <xdr:rowOff>57150</xdr:rowOff>
              </to>
            </anchor>
          </objectPr>
        </oleObject>
      </mc:Choice>
      <mc:Fallback>
        <oleObject progId="Equation.DSMT4" shapeId="21509" r:id="rId12"/>
      </mc:Fallback>
    </mc:AlternateContent>
    <mc:AlternateContent xmlns:mc="http://schemas.openxmlformats.org/markup-compatibility/2006">
      <mc:Choice Requires="x14">
        <oleObject progId="Equation.DSMT4" shapeId="21510" r:id="rId14">
          <objectPr defaultSize="0" autoPict="0" r:id="rId15">
            <anchor moveWithCells="1" sizeWithCells="1">
              <from>
                <xdr:col>6</xdr:col>
                <xdr:colOff>9525</xdr:colOff>
                <xdr:row>35</xdr:row>
                <xdr:rowOff>57150</xdr:rowOff>
              </from>
              <to>
                <xdr:col>17</xdr:col>
                <xdr:colOff>295275</xdr:colOff>
                <xdr:row>36</xdr:row>
                <xdr:rowOff>190500</xdr:rowOff>
              </to>
            </anchor>
          </objectPr>
        </oleObject>
      </mc:Choice>
      <mc:Fallback>
        <oleObject progId="Equation.DSMT4" shapeId="21510" r:id="rId14"/>
      </mc:Fallback>
    </mc:AlternateContent>
    <mc:AlternateContent xmlns:mc="http://schemas.openxmlformats.org/markup-compatibility/2006">
      <mc:Choice Requires="x14">
        <oleObject progId="Equation.DSMT4" shapeId="21511" r:id="rId16">
          <objectPr defaultSize="0" autoPict="0" r:id="rId17">
            <anchor moveWithCells="1" sizeWithCells="1">
              <from>
                <xdr:col>6</xdr:col>
                <xdr:colOff>19050</xdr:colOff>
                <xdr:row>37</xdr:row>
                <xdr:rowOff>190500</xdr:rowOff>
              </from>
              <to>
                <xdr:col>7</xdr:col>
                <xdr:colOff>228600</xdr:colOff>
                <xdr:row>39</xdr:row>
                <xdr:rowOff>76200</xdr:rowOff>
              </to>
            </anchor>
          </objectPr>
        </oleObject>
      </mc:Choice>
      <mc:Fallback>
        <oleObject progId="Equation.DSMT4" shapeId="21511" r:id="rId16"/>
      </mc:Fallback>
    </mc:AlternateContent>
    <mc:AlternateContent xmlns:mc="http://schemas.openxmlformats.org/markup-compatibility/2006">
      <mc:Choice Requires="x14">
        <oleObject progId="Equation.DSMT4" shapeId="21512" r:id="rId18">
          <objectPr defaultSize="0" autoPict="0" r:id="rId9">
            <anchor moveWithCells="1" sizeWithCells="1">
              <from>
                <xdr:col>6</xdr:col>
                <xdr:colOff>9525</xdr:colOff>
                <xdr:row>47</xdr:row>
                <xdr:rowOff>95250</xdr:rowOff>
              </from>
              <to>
                <xdr:col>8</xdr:col>
                <xdr:colOff>85725</xdr:colOff>
                <xdr:row>48</xdr:row>
                <xdr:rowOff>104775</xdr:rowOff>
              </to>
            </anchor>
          </objectPr>
        </oleObject>
      </mc:Choice>
      <mc:Fallback>
        <oleObject progId="Equation.DSMT4" shapeId="21512" r:id="rId18"/>
      </mc:Fallback>
    </mc:AlternateContent>
    <mc:AlternateContent xmlns:mc="http://schemas.openxmlformats.org/markup-compatibility/2006">
      <mc:Choice Requires="x14">
        <oleObject progId="Equation.DSMT4" shapeId="21513" r:id="rId19">
          <objectPr defaultSize="0" autoPict="0" r:id="rId11">
            <anchor moveWithCells="1" sizeWithCells="1">
              <from>
                <xdr:col>6</xdr:col>
                <xdr:colOff>28575</xdr:colOff>
                <xdr:row>52</xdr:row>
                <xdr:rowOff>114300</xdr:rowOff>
              </from>
              <to>
                <xdr:col>11</xdr:col>
                <xdr:colOff>238125</xdr:colOff>
                <xdr:row>54</xdr:row>
                <xdr:rowOff>57150</xdr:rowOff>
              </to>
            </anchor>
          </objectPr>
        </oleObject>
      </mc:Choice>
      <mc:Fallback>
        <oleObject progId="Equation.DSMT4" shapeId="21513" r:id="rId19"/>
      </mc:Fallback>
    </mc:AlternateContent>
    <mc:AlternateContent xmlns:mc="http://schemas.openxmlformats.org/markup-compatibility/2006">
      <mc:Choice Requires="x14">
        <oleObject progId="Equation.DSMT4" shapeId="21514" r:id="rId20">
          <objectPr defaultSize="0" autoPict="0" r:id="rId21">
            <anchor moveWithCells="1" sizeWithCells="1">
              <from>
                <xdr:col>6</xdr:col>
                <xdr:colOff>9525</xdr:colOff>
                <xdr:row>49</xdr:row>
                <xdr:rowOff>0</xdr:rowOff>
              </from>
              <to>
                <xdr:col>17</xdr:col>
                <xdr:colOff>657225</xdr:colOff>
                <xdr:row>52</xdr:row>
                <xdr:rowOff>47625</xdr:rowOff>
              </to>
            </anchor>
          </objectPr>
        </oleObject>
      </mc:Choice>
      <mc:Fallback>
        <oleObject progId="Equation.DSMT4" shapeId="21514" r:id="rId20"/>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AH165"/>
  <sheetViews>
    <sheetView showGridLines="0" topLeftCell="N1" zoomScaleNormal="100" workbookViewId="0"/>
  </sheetViews>
  <sheetFormatPr defaultRowHeight="15.75" x14ac:dyDescent="0.25"/>
  <cols>
    <col min="4" max="4" width="9" customWidth="1"/>
    <col min="20" max="20" width="9" style="155"/>
    <col min="33" max="33" width="9" style="165"/>
  </cols>
  <sheetData>
    <row r="1" spans="1:34" ht="20.25" x14ac:dyDescent="0.3">
      <c r="A1" s="156" t="s">
        <v>169</v>
      </c>
      <c r="T1" s="156" t="s">
        <v>170</v>
      </c>
      <c r="AH1" s="156" t="s">
        <v>368</v>
      </c>
    </row>
    <row r="3" spans="1:34" x14ac:dyDescent="0.25">
      <c r="AH3" s="164" t="s">
        <v>369</v>
      </c>
    </row>
    <row r="4" spans="1:34" x14ac:dyDescent="0.25">
      <c r="A4" s="49" t="s">
        <v>182</v>
      </c>
      <c r="T4" s="164" t="s">
        <v>184</v>
      </c>
    </row>
    <row r="13" spans="1:34" ht="17.25" x14ac:dyDescent="0.3">
      <c r="AH13" s="164" t="s">
        <v>370</v>
      </c>
    </row>
    <row r="14" spans="1:34" x14ac:dyDescent="0.25">
      <c r="T14" s="164" t="s">
        <v>183</v>
      </c>
    </row>
    <row r="20" spans="1:34" x14ac:dyDescent="0.25">
      <c r="A20" s="2" t="s">
        <v>179</v>
      </c>
    </row>
    <row r="22" spans="1:34" ht="31.5" customHeight="1" x14ac:dyDescent="0.25">
      <c r="B22" s="661" t="s">
        <v>173</v>
      </c>
      <c r="C22" s="661"/>
      <c r="D22" s="660" t="s">
        <v>172</v>
      </c>
      <c r="E22" s="660"/>
    </row>
    <row r="23" spans="1:34" ht="15.75" customHeight="1" x14ac:dyDescent="0.25">
      <c r="B23" s="662"/>
      <c r="C23" s="662"/>
      <c r="D23" s="159" t="s">
        <v>174</v>
      </c>
      <c r="E23" s="159" t="s">
        <v>175</v>
      </c>
    </row>
    <row r="24" spans="1:34" ht="15.75" customHeight="1" x14ac:dyDescent="0.25">
      <c r="B24" s="663">
        <v>475</v>
      </c>
      <c r="C24" s="663"/>
      <c r="D24" s="160">
        <v>10</v>
      </c>
      <c r="E24" s="160">
        <v>50</v>
      </c>
    </row>
    <row r="25" spans="1:34" x14ac:dyDescent="0.25">
      <c r="B25" s="664" t="s">
        <v>176</v>
      </c>
      <c r="C25" s="664"/>
      <c r="D25" s="158" t="s">
        <v>177</v>
      </c>
      <c r="E25" s="158" t="s">
        <v>178</v>
      </c>
    </row>
    <row r="26" spans="1:34" x14ac:dyDescent="0.25">
      <c r="B26" s="659">
        <v>2475</v>
      </c>
      <c r="C26" s="659"/>
      <c r="D26" s="161">
        <v>2</v>
      </c>
      <c r="E26" s="161">
        <v>50</v>
      </c>
    </row>
    <row r="27" spans="1:34" x14ac:dyDescent="0.25">
      <c r="B27" s="157"/>
      <c r="C27" s="158"/>
      <c r="D27" s="158"/>
    </row>
    <row r="29" spans="1:34" ht="17.25" x14ac:dyDescent="0.3">
      <c r="A29" s="2" t="s">
        <v>166</v>
      </c>
    </row>
    <row r="30" spans="1:34" ht="17.25" x14ac:dyDescent="0.3">
      <c r="A30" t="s">
        <v>165</v>
      </c>
      <c r="T30" s="164"/>
      <c r="AH30" s="164" t="s">
        <v>371</v>
      </c>
    </row>
    <row r="31" spans="1:34" ht="16.5" thickBot="1" x14ac:dyDescent="0.3"/>
    <row r="32" spans="1:34" ht="16.5" thickBot="1" x14ac:dyDescent="0.3">
      <c r="B32" s="665" t="s">
        <v>77</v>
      </c>
      <c r="C32" s="667" t="s">
        <v>78</v>
      </c>
      <c r="D32" s="667"/>
      <c r="E32" s="667"/>
      <c r="F32" s="667"/>
      <c r="G32" s="667"/>
    </row>
    <row r="33" spans="1:34" ht="26.25" thickBot="1" x14ac:dyDescent="0.3">
      <c r="B33" s="666"/>
      <c r="C33" s="40" t="s">
        <v>79</v>
      </c>
      <c r="D33" s="40" t="s">
        <v>80</v>
      </c>
      <c r="E33" s="40" t="s">
        <v>81</v>
      </c>
      <c r="F33" s="40" t="s">
        <v>82</v>
      </c>
      <c r="G33" s="40" t="s">
        <v>83</v>
      </c>
      <c r="T33" s="164" t="s">
        <v>185</v>
      </c>
    </row>
    <row r="34" spans="1:34" x14ac:dyDescent="0.25">
      <c r="B34" s="41" t="s">
        <v>84</v>
      </c>
      <c r="C34" s="41">
        <v>0.8</v>
      </c>
      <c r="D34" s="41">
        <v>0.8</v>
      </c>
      <c r="E34" s="41">
        <v>0.8</v>
      </c>
      <c r="F34" s="41">
        <v>0.8</v>
      </c>
      <c r="G34" s="41">
        <v>0.8</v>
      </c>
    </row>
    <row r="35" spans="1:34" x14ac:dyDescent="0.25">
      <c r="B35" s="41" t="s">
        <v>85</v>
      </c>
      <c r="C35" s="41">
        <v>1</v>
      </c>
      <c r="D35" s="41">
        <v>1</v>
      </c>
      <c r="E35" s="41">
        <v>1</v>
      </c>
      <c r="F35" s="41">
        <v>1</v>
      </c>
      <c r="G35" s="41">
        <v>1</v>
      </c>
    </row>
    <row r="36" spans="1:34" x14ac:dyDescent="0.25">
      <c r="B36" s="41" t="s">
        <v>86</v>
      </c>
      <c r="C36" s="41">
        <v>1.2</v>
      </c>
      <c r="D36" s="41">
        <v>1.2</v>
      </c>
      <c r="E36" s="41">
        <v>1.1000000000000001</v>
      </c>
      <c r="F36" s="41">
        <v>1</v>
      </c>
      <c r="G36" s="41">
        <v>1</v>
      </c>
    </row>
    <row r="37" spans="1:34" x14ac:dyDescent="0.25">
      <c r="B37" s="98" t="s">
        <v>87</v>
      </c>
      <c r="C37" s="98">
        <v>1.6</v>
      </c>
      <c r="D37" s="98">
        <v>1.4</v>
      </c>
      <c r="E37" s="98">
        <v>1.2</v>
      </c>
      <c r="F37" s="98">
        <v>1.1000000000000001</v>
      </c>
      <c r="G37" s="98">
        <v>1</v>
      </c>
    </row>
    <row r="38" spans="1:34" x14ac:dyDescent="0.25">
      <c r="B38" s="41" t="s">
        <v>88</v>
      </c>
      <c r="C38" s="41">
        <v>2.5</v>
      </c>
      <c r="D38" s="41">
        <v>1.7</v>
      </c>
      <c r="E38" s="41">
        <v>1.2</v>
      </c>
      <c r="F38" s="41">
        <v>0.9</v>
      </c>
      <c r="G38" s="41">
        <v>0.9</v>
      </c>
    </row>
    <row r="39" spans="1:34" ht="16.5" thickBot="1" x14ac:dyDescent="0.3">
      <c r="B39" s="40" t="s">
        <v>89</v>
      </c>
      <c r="C39" s="657" t="s">
        <v>90</v>
      </c>
      <c r="D39" s="657"/>
      <c r="E39" s="657"/>
      <c r="F39" s="657"/>
      <c r="G39" s="657"/>
    </row>
    <row r="40" spans="1:34" x14ac:dyDescent="0.25">
      <c r="B40" s="658" t="s">
        <v>167</v>
      </c>
      <c r="C40" s="658"/>
      <c r="D40" s="658"/>
      <c r="E40" s="658"/>
      <c r="F40" s="658"/>
      <c r="G40" s="658"/>
      <c r="AH40" s="164" t="s">
        <v>171</v>
      </c>
    </row>
    <row r="42" spans="1:34" x14ac:dyDescent="0.25">
      <c r="A42" s="2" t="s">
        <v>168</v>
      </c>
    </row>
    <row r="43" spans="1:34" x14ac:dyDescent="0.25">
      <c r="A43" t="s">
        <v>164</v>
      </c>
    </row>
    <row r="52" spans="20:20" x14ac:dyDescent="0.25">
      <c r="T52" s="164" t="s">
        <v>186</v>
      </c>
    </row>
    <row r="54" spans="20:20" x14ac:dyDescent="0.25">
      <c r="T54" s="155" t="s">
        <v>187</v>
      </c>
    </row>
    <row r="55" spans="20:20" ht="18.75" x14ac:dyDescent="0.35">
      <c r="T55" s="155" t="s">
        <v>312</v>
      </c>
    </row>
    <row r="71" spans="20:21" x14ac:dyDescent="0.25">
      <c r="U71" s="163"/>
    </row>
    <row r="72" spans="20:21" x14ac:dyDescent="0.25">
      <c r="T72" s="164" t="s">
        <v>171</v>
      </c>
      <c r="U72" s="163"/>
    </row>
    <row r="85" spans="20:20" ht="20.25" x14ac:dyDescent="0.3">
      <c r="T85" s="156"/>
    </row>
    <row r="86" spans="20:20" ht="20.25" x14ac:dyDescent="0.3">
      <c r="T86" s="156" t="s">
        <v>457</v>
      </c>
    </row>
    <row r="107" spans="1:1" x14ac:dyDescent="0.25">
      <c r="A107" s="2" t="s">
        <v>181</v>
      </c>
    </row>
    <row r="165" spans="1:1" x14ac:dyDescent="0.25">
      <c r="A165" s="2" t="s">
        <v>171</v>
      </c>
    </row>
  </sheetData>
  <sheetProtection password="C5B9" sheet="1" objects="1" scenarios="1"/>
  <mergeCells count="9">
    <mergeCell ref="C39:G39"/>
    <mergeCell ref="B40:G40"/>
    <mergeCell ref="B26:C26"/>
    <mergeCell ref="D22:E22"/>
    <mergeCell ref="B22:C23"/>
    <mergeCell ref="B24:C24"/>
    <mergeCell ref="B25:C25"/>
    <mergeCell ref="B32:B33"/>
    <mergeCell ref="C32:G32"/>
  </mergeCells>
  <pageMargins left="0.7" right="0.7" top="0.75" bottom="0.75" header="0.3" footer="0.3"/>
  <pageSetup orientation="portrait" horizontalDpi="1200" verticalDpi="1200" r:id="rId1"/>
  <drawing r:id="rId2"/>
  <legacyDrawing r:id="rId3"/>
  <oleObjects>
    <mc:AlternateContent xmlns:mc="http://schemas.openxmlformats.org/markup-compatibility/2006">
      <mc:Choice Requires="x14">
        <oleObject progId="Equation.DSMT4" shapeId="14337" r:id="rId4">
          <objectPr defaultSize="0" autoPict="0" r:id="rId5">
            <anchor moveWithCells="1" sizeWithCells="1">
              <from>
                <xdr:col>6</xdr:col>
                <xdr:colOff>133350</xdr:colOff>
                <xdr:row>22</xdr:row>
                <xdr:rowOff>142875</xdr:rowOff>
              </from>
              <to>
                <xdr:col>8</xdr:col>
                <xdr:colOff>533400</xdr:colOff>
                <xdr:row>24</xdr:row>
                <xdr:rowOff>190500</xdr:rowOff>
              </to>
            </anchor>
          </objectPr>
        </oleObject>
      </mc:Choice>
      <mc:Fallback>
        <oleObject progId="Equation.DSMT4" shapeId="14337" r:id="rId4"/>
      </mc:Fallback>
    </mc:AlternateContent>
    <mc:AlternateContent xmlns:mc="http://schemas.openxmlformats.org/markup-compatibility/2006">
      <mc:Choice Requires="x14">
        <oleObject progId="Equation.DSMT4" shapeId="14338" r:id="rId6">
          <objectPr defaultSize="0" autoPict="0" r:id="rId7">
            <anchor moveWithCells="1" sizeWithCells="1">
              <from>
                <xdr:col>33</xdr:col>
                <xdr:colOff>228600</xdr:colOff>
                <xdr:row>24</xdr:row>
                <xdr:rowOff>28575</xdr:rowOff>
              </from>
              <to>
                <xdr:col>35</xdr:col>
                <xdr:colOff>609600</xdr:colOff>
                <xdr:row>26</xdr:row>
                <xdr:rowOff>76200</xdr:rowOff>
              </to>
            </anchor>
          </objectPr>
        </oleObject>
      </mc:Choice>
      <mc:Fallback>
        <oleObject progId="Equation.DSMT4" shapeId="14338" r:id="rId6"/>
      </mc:Fallback>
    </mc:AlternateContent>
    <mc:AlternateContent xmlns:mc="http://schemas.openxmlformats.org/markup-compatibility/2006">
      <mc:Choice Requires="x14">
        <oleObject progId="Equation.DSMT4" shapeId="14339" r:id="rId8">
          <objectPr defaultSize="0" autoPict="0" r:id="rId9">
            <anchor moveWithCells="1" sizeWithCells="1">
              <from>
                <xdr:col>36</xdr:col>
                <xdr:colOff>476250</xdr:colOff>
                <xdr:row>24</xdr:row>
                <xdr:rowOff>9525</xdr:rowOff>
              </from>
              <to>
                <xdr:col>40</xdr:col>
                <xdr:colOff>123825</xdr:colOff>
                <xdr:row>26</xdr:row>
                <xdr:rowOff>28575</xdr:rowOff>
              </to>
            </anchor>
          </objectPr>
        </oleObject>
      </mc:Choice>
      <mc:Fallback>
        <oleObject progId="Equation.DSMT4" shapeId="14339" r:id="rId8"/>
      </mc:Fallback>
    </mc:AlternateContent>
  </oleObjec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6"/>
  <dimension ref="A1:C36"/>
  <sheetViews>
    <sheetView topLeftCell="A25" workbookViewId="0">
      <selection activeCell="B37" sqref="B37"/>
    </sheetView>
  </sheetViews>
  <sheetFormatPr defaultRowHeight="15.75" x14ac:dyDescent="0.25"/>
  <cols>
    <col min="2" max="2" width="9.875" bestFit="1" customWidth="1"/>
    <col min="3" max="3" width="124" customWidth="1"/>
  </cols>
  <sheetData>
    <row r="1" spans="1:3" x14ac:dyDescent="0.25">
      <c r="A1" s="467" t="s">
        <v>399</v>
      </c>
      <c r="B1" t="s">
        <v>425</v>
      </c>
      <c r="C1" s="467" t="s">
        <v>400</v>
      </c>
    </row>
    <row r="2" spans="1:3" x14ac:dyDescent="0.25">
      <c r="A2" t="s">
        <v>412</v>
      </c>
      <c r="C2" t="s">
        <v>401</v>
      </c>
    </row>
    <row r="3" spans="1:3" x14ac:dyDescent="0.25">
      <c r="C3" t="s">
        <v>410</v>
      </c>
    </row>
    <row r="5" spans="1:3" x14ac:dyDescent="0.25">
      <c r="A5" t="s">
        <v>411</v>
      </c>
      <c r="C5" t="s">
        <v>403</v>
      </c>
    </row>
    <row r="6" spans="1:3" x14ac:dyDescent="0.25">
      <c r="C6" t="s">
        <v>406</v>
      </c>
    </row>
    <row r="7" spans="1:3" x14ac:dyDescent="0.25">
      <c r="C7" t="s">
        <v>405</v>
      </c>
    </row>
    <row r="8" spans="1:3" x14ac:dyDescent="0.25">
      <c r="C8" t="s">
        <v>407</v>
      </c>
    </row>
    <row r="9" spans="1:3" x14ac:dyDescent="0.25">
      <c r="C9" t="s">
        <v>408</v>
      </c>
    </row>
    <row r="10" spans="1:3" x14ac:dyDescent="0.25">
      <c r="C10" t="s">
        <v>409</v>
      </c>
    </row>
    <row r="11" spans="1:3" x14ac:dyDescent="0.25">
      <c r="A11" s="468" t="s">
        <v>413</v>
      </c>
      <c r="C11" t="s">
        <v>414</v>
      </c>
    </row>
    <row r="12" spans="1:3" x14ac:dyDescent="0.25">
      <c r="A12">
        <v>1.1000000000000001</v>
      </c>
      <c r="C12" t="s">
        <v>415</v>
      </c>
    </row>
    <row r="13" spans="1:3" x14ac:dyDescent="0.25">
      <c r="C13" t="s">
        <v>416</v>
      </c>
    </row>
    <row r="14" spans="1:3" x14ac:dyDescent="0.25">
      <c r="C14" t="s">
        <v>417</v>
      </c>
    </row>
    <row r="15" spans="1:3" x14ac:dyDescent="0.25">
      <c r="A15" t="s">
        <v>418</v>
      </c>
      <c r="C15" t="s">
        <v>419</v>
      </c>
    </row>
    <row r="16" spans="1:3" x14ac:dyDescent="0.25">
      <c r="C16" t="s">
        <v>420</v>
      </c>
    </row>
    <row r="17" spans="1:3" x14ac:dyDescent="0.25">
      <c r="A17">
        <v>1.2</v>
      </c>
      <c r="B17" s="469">
        <v>42933</v>
      </c>
      <c r="C17" t="s">
        <v>422</v>
      </c>
    </row>
    <row r="18" spans="1:3" x14ac:dyDescent="0.25">
      <c r="C18" t="s">
        <v>423</v>
      </c>
    </row>
    <row r="19" spans="1:3" x14ac:dyDescent="0.25">
      <c r="C19" t="s">
        <v>424</v>
      </c>
    </row>
    <row r="20" spans="1:3" x14ac:dyDescent="0.25">
      <c r="C20" t="s">
        <v>429</v>
      </c>
    </row>
    <row r="21" spans="1:3" x14ac:dyDescent="0.25">
      <c r="C21" t="s">
        <v>426</v>
      </c>
    </row>
    <row r="22" spans="1:3" x14ac:dyDescent="0.25">
      <c r="C22" t="s">
        <v>427</v>
      </c>
    </row>
    <row r="23" spans="1:3" x14ac:dyDescent="0.25">
      <c r="C23" t="s">
        <v>428</v>
      </c>
    </row>
    <row r="24" spans="1:3" x14ac:dyDescent="0.25">
      <c r="C24" t="s">
        <v>430</v>
      </c>
    </row>
    <row r="25" spans="1:3" x14ac:dyDescent="0.25">
      <c r="A25">
        <v>1.21</v>
      </c>
      <c r="B25" s="469">
        <v>43040</v>
      </c>
      <c r="C25" t="s">
        <v>435</v>
      </c>
    </row>
    <row r="26" spans="1:3" x14ac:dyDescent="0.25">
      <c r="A26">
        <v>1.3</v>
      </c>
      <c r="B26" s="469">
        <v>43129</v>
      </c>
      <c r="C26" t="s">
        <v>436</v>
      </c>
    </row>
    <row r="27" spans="1:3" x14ac:dyDescent="0.25">
      <c r="C27" t="s">
        <v>437</v>
      </c>
    </row>
    <row r="28" spans="1:3" x14ac:dyDescent="0.25">
      <c r="A28">
        <v>1.4</v>
      </c>
      <c r="B28" s="469">
        <v>43348</v>
      </c>
      <c r="C28" t="s">
        <v>444</v>
      </c>
    </row>
    <row r="29" spans="1:3" x14ac:dyDescent="0.25">
      <c r="C29" t="s">
        <v>445</v>
      </c>
    </row>
    <row r="30" spans="1:3" x14ac:dyDescent="0.25">
      <c r="C30" t="s">
        <v>446</v>
      </c>
    </row>
    <row r="31" spans="1:3" x14ac:dyDescent="0.25">
      <c r="A31">
        <v>1.41</v>
      </c>
      <c r="B31" s="469">
        <v>43493</v>
      </c>
      <c r="C31" t="s">
        <v>459</v>
      </c>
    </row>
    <row r="32" spans="1:3" x14ac:dyDescent="0.25">
      <c r="C32" t="s">
        <v>460</v>
      </c>
    </row>
    <row r="33" spans="1:3" x14ac:dyDescent="0.25">
      <c r="C33" t="s">
        <v>461</v>
      </c>
    </row>
    <row r="34" spans="1:3" x14ac:dyDescent="0.25">
      <c r="C34" t="s">
        <v>462</v>
      </c>
    </row>
    <row r="35" spans="1:3" x14ac:dyDescent="0.25">
      <c r="C35" t="s">
        <v>463</v>
      </c>
    </row>
    <row r="36" spans="1:3" x14ac:dyDescent="0.25">
      <c r="A36">
        <v>1.42</v>
      </c>
      <c r="B36" s="469">
        <v>44517</v>
      </c>
      <c r="C36" t="s">
        <v>467</v>
      </c>
    </row>
  </sheetData>
  <sheetProtection password="C5B9" sheet="1" objects="1" scenarios="1"/>
  <pageMargins left="0.7" right="0.7" top="0.75" bottom="0.75" header="0.3" footer="0.3"/>
  <pageSetup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dimension ref="A1:AI61"/>
  <sheetViews>
    <sheetView topLeftCell="A37" workbookViewId="0">
      <selection activeCell="D61" sqref="D61"/>
    </sheetView>
  </sheetViews>
  <sheetFormatPr defaultColWidth="9" defaultRowHeight="15.75" x14ac:dyDescent="0.25"/>
  <cols>
    <col min="1" max="1" width="15.5" style="42" bestFit="1" customWidth="1"/>
    <col min="2" max="17" width="9" style="43"/>
    <col min="18" max="31" width="8.625" customWidth="1"/>
    <col min="32" max="16384" width="9" style="43"/>
  </cols>
  <sheetData>
    <row r="1" spans="1:35" x14ac:dyDescent="0.25">
      <c r="A1" s="56" t="s">
        <v>192</v>
      </c>
      <c r="D1" s="43" t="s">
        <v>242</v>
      </c>
      <c r="V1" s="43" t="s">
        <v>243</v>
      </c>
      <c r="W1" s="43"/>
      <c r="X1" s="43"/>
      <c r="Y1" s="43"/>
      <c r="Z1" s="43"/>
      <c r="AA1" s="43"/>
      <c r="AB1" s="43"/>
      <c r="AC1" s="43"/>
      <c r="AD1" s="43"/>
      <c r="AE1" s="43"/>
    </row>
    <row r="2" spans="1:35" x14ac:dyDescent="0.25">
      <c r="A2" s="42">
        <v>1</v>
      </c>
      <c r="D2" s="34" t="s">
        <v>236</v>
      </c>
      <c r="V2" s="34" t="s">
        <v>236</v>
      </c>
      <c r="W2" s="43"/>
      <c r="X2" s="43"/>
      <c r="Y2" s="43"/>
      <c r="Z2" s="43"/>
      <c r="AA2" s="43"/>
      <c r="AB2" s="43"/>
      <c r="AC2" s="43"/>
      <c r="AD2" s="43"/>
      <c r="AE2" s="43"/>
    </row>
    <row r="3" spans="1:35" x14ac:dyDescent="0.25">
      <c r="A3" s="42">
        <v>2</v>
      </c>
      <c r="V3" s="43"/>
      <c r="W3" s="43"/>
      <c r="X3" s="43"/>
      <c r="Y3" s="43"/>
      <c r="Z3" s="43"/>
      <c r="AA3" s="43"/>
      <c r="AB3" s="43"/>
      <c r="AC3" s="43"/>
      <c r="AD3" s="43"/>
      <c r="AE3" s="43"/>
    </row>
    <row r="4" spans="1:35" ht="15.75" customHeight="1" x14ac:dyDescent="0.25">
      <c r="D4" s="670" t="str">
        <f>IF(units=1,"Thickness (m)","Thickness (ft)")</f>
        <v>Thickness (ft)</v>
      </c>
      <c r="E4" s="242"/>
      <c r="F4" s="668" t="s">
        <v>143</v>
      </c>
      <c r="G4" s="669"/>
      <c r="H4" s="669"/>
      <c r="I4" s="669"/>
      <c r="J4" s="669"/>
      <c r="K4" s="672"/>
      <c r="L4" s="668" t="s">
        <v>144</v>
      </c>
      <c r="M4" s="669"/>
      <c r="N4" s="669"/>
      <c r="O4" s="669"/>
      <c r="P4" s="669"/>
      <c r="Q4" s="669"/>
      <c r="S4" t="s">
        <v>237</v>
      </c>
      <c r="V4" s="670" t="str">
        <f>IF(units=1,"Thickness (m)","Thickness (ft)")</f>
        <v>Thickness (ft)</v>
      </c>
      <c r="W4" s="242"/>
      <c r="X4" s="668" t="s">
        <v>143</v>
      </c>
      <c r="Y4" s="669"/>
      <c r="Z4" s="669"/>
      <c r="AA4" s="669"/>
      <c r="AB4" s="669"/>
      <c r="AC4" s="672"/>
      <c r="AD4" s="668" t="s">
        <v>144</v>
      </c>
      <c r="AE4" s="669"/>
      <c r="AF4" s="669"/>
      <c r="AG4" s="669"/>
      <c r="AH4" s="669"/>
      <c r="AI4" s="669"/>
    </row>
    <row r="5" spans="1:35" ht="18" x14ac:dyDescent="0.25">
      <c r="A5" s="56" t="s">
        <v>193</v>
      </c>
      <c r="D5" s="671"/>
      <c r="E5" s="243" t="str">
        <f>IF(units=1,"Depth (m)","Depth (ft)")</f>
        <v>Depth (ft)</v>
      </c>
      <c r="F5" s="244" t="s">
        <v>212</v>
      </c>
      <c r="G5" s="245" t="s">
        <v>213</v>
      </c>
      <c r="H5" s="245" t="s">
        <v>214</v>
      </c>
      <c r="I5" s="245" t="s">
        <v>235</v>
      </c>
      <c r="J5" s="245" t="s">
        <v>142</v>
      </c>
      <c r="K5" s="262" t="s">
        <v>145</v>
      </c>
      <c r="L5" s="244" t="s">
        <v>212</v>
      </c>
      <c r="M5" s="245" t="s">
        <v>213</v>
      </c>
      <c r="N5" s="245" t="s">
        <v>214</v>
      </c>
      <c r="O5" s="245" t="s">
        <v>235</v>
      </c>
      <c r="P5" s="245" t="s">
        <v>142</v>
      </c>
      <c r="Q5" s="262" t="s">
        <v>145</v>
      </c>
      <c r="S5" s="287" t="s">
        <v>238</v>
      </c>
      <c r="T5" s="287" t="s">
        <v>239</v>
      </c>
      <c r="V5" s="671"/>
      <c r="W5" s="243" t="str">
        <f>IF(units=1,"Depth (m)","Depth (ft)")</f>
        <v>Depth (ft)</v>
      </c>
      <c r="X5" s="244" t="s">
        <v>212</v>
      </c>
      <c r="Y5" s="245" t="s">
        <v>213</v>
      </c>
      <c r="Z5" s="245" t="s">
        <v>214</v>
      </c>
      <c r="AA5" s="245" t="s">
        <v>235</v>
      </c>
      <c r="AB5" s="245" t="s">
        <v>142</v>
      </c>
      <c r="AC5" s="263" t="s">
        <v>145</v>
      </c>
      <c r="AD5" s="244" t="s">
        <v>212</v>
      </c>
      <c r="AE5" s="245" t="s">
        <v>213</v>
      </c>
      <c r="AF5" s="245" t="s">
        <v>214</v>
      </c>
      <c r="AG5" s="245" t="s">
        <v>235</v>
      </c>
      <c r="AH5" s="245" t="s">
        <v>142</v>
      </c>
      <c r="AI5" s="263" t="s">
        <v>145</v>
      </c>
    </row>
    <row r="6" spans="1:35" x14ac:dyDescent="0.25">
      <c r="A6" s="42" t="s">
        <v>84</v>
      </c>
      <c r="D6" s="272">
        <f>IF(Inputs!$G13="",NA(),Inputs!$G13)</f>
        <v>3</v>
      </c>
      <c r="E6" s="273">
        <v>0</v>
      </c>
      <c r="F6" s="273">
        <f ca="1">'Final Summary'!K26</f>
        <v>33.874185446686866</v>
      </c>
      <c r="G6" s="273">
        <f>'Final Summary'!L26</f>
        <v>19.147705078125</v>
      </c>
      <c r="H6" s="273">
        <f ca="1">'Final Summary'!M26</f>
        <v>0.22311236023806372</v>
      </c>
      <c r="I6" s="273">
        <f ca="1">'Final Summary'!N26</f>
        <v>4.531038012233954</v>
      </c>
      <c r="J6" s="272">
        <f ca="1">'PB Liquefaction Initiation'!Q10</f>
        <v>1.010930585237902</v>
      </c>
      <c r="K6" s="272"/>
      <c r="L6" s="273">
        <f>'Final Summary'!P26</f>
        <v>32.632000000000005</v>
      </c>
      <c r="M6" s="273">
        <f>'Final Summary'!Q26</f>
        <v>42.004928699970996</v>
      </c>
      <c r="N6" s="273">
        <f>'Final Summary'!R26</f>
        <v>2.6853170884224604</v>
      </c>
      <c r="O6" s="273">
        <f>'Final Summary'!S26</f>
        <v>0.5067739356819696</v>
      </c>
      <c r="P6" s="272">
        <f>'PB Liquefaction Initiation'!N43</f>
        <v>1.3608487094538979</v>
      </c>
      <c r="Q6" s="272"/>
      <c r="S6" s="81">
        <v>0</v>
      </c>
      <c r="T6" s="81">
        <v>0.5</v>
      </c>
      <c r="V6" s="272">
        <f>IF(Inputs!$G13="",NA(),Inputs!$G13)</f>
        <v>3</v>
      </c>
      <c r="W6" s="273">
        <v>0</v>
      </c>
      <c r="X6" s="273">
        <f ca="1">'Final Summary'!V26</f>
        <v>33.874185446686866</v>
      </c>
      <c r="Y6" s="273">
        <f>'Final Summary'!W26</f>
        <v>30.872833251953125</v>
      </c>
      <c r="Z6" s="273">
        <f ca="1">'Final Summary'!X26</f>
        <v>0.41396383811397325</v>
      </c>
      <c r="AA6" s="273">
        <f ca="1">'Final Summary'!Y26</f>
        <v>1.8540697745700523</v>
      </c>
      <c r="AB6" s="272">
        <f ca="1">'Det Liquefaction Initiation'!T10</f>
        <v>0.76751784001212797</v>
      </c>
      <c r="AC6" s="272"/>
      <c r="AD6" s="273">
        <f>'Final Summary'!AA26</f>
        <v>32.632000000000005</v>
      </c>
      <c r="AE6" s="273">
        <f>'Final Summary'!AB26</f>
        <v>32.02838398000322</v>
      </c>
      <c r="AF6" s="273">
        <f>'Final Summary'!AC26</f>
        <v>0.95265995669352044</v>
      </c>
      <c r="AG6" s="273">
        <f>'Final Summary'!AD26</f>
        <v>1.6810605542142403</v>
      </c>
      <c r="AH6" s="272">
        <f>'Det Liquefaction Initiation'!O43</f>
        <v>1.6014790747769236</v>
      </c>
      <c r="AI6" s="272"/>
    </row>
    <row r="7" spans="1:35" x14ac:dyDescent="0.25">
      <c r="A7" s="42" t="s">
        <v>85</v>
      </c>
      <c r="E7" s="271">
        <f>D6+E6</f>
        <v>3</v>
      </c>
      <c r="F7" s="271">
        <f ca="1">F6</f>
        <v>33.874185446686866</v>
      </c>
      <c r="G7" s="271">
        <f t="shared" ref="G7:P7" si="0">G6</f>
        <v>19.147705078125</v>
      </c>
      <c r="H7" s="271">
        <f t="shared" ca="1" si="0"/>
        <v>0.22311236023806372</v>
      </c>
      <c r="I7" s="271">
        <f t="shared" ca="1" si="0"/>
        <v>4.531038012233954</v>
      </c>
      <c r="J7" s="271">
        <f t="shared" ca="1" si="0"/>
        <v>1.010930585237902</v>
      </c>
      <c r="K7" s="271"/>
      <c r="L7" s="271">
        <f t="shared" si="0"/>
        <v>32.632000000000005</v>
      </c>
      <c r="M7" s="271">
        <f t="shared" si="0"/>
        <v>42.004928699970996</v>
      </c>
      <c r="N7" s="271">
        <f t="shared" si="0"/>
        <v>2.6853170884224604</v>
      </c>
      <c r="O7" s="271">
        <f t="shared" si="0"/>
        <v>0.5067739356819696</v>
      </c>
      <c r="P7" s="271">
        <f t="shared" si="0"/>
        <v>1.3608487094538979</v>
      </c>
      <c r="Q7" s="271"/>
      <c r="S7" s="289">
        <f>MAX($E$6:$E$45)+5</f>
        <v>64</v>
      </c>
      <c r="T7" s="81">
        <v>0.5</v>
      </c>
      <c r="V7" s="43"/>
      <c r="W7" s="271">
        <f>V6+W6</f>
        <v>3</v>
      </c>
      <c r="X7" s="271">
        <f ca="1">X6</f>
        <v>33.874185446686866</v>
      </c>
      <c r="Y7" s="271">
        <f>Y6</f>
        <v>30.872833251953125</v>
      </c>
      <c r="Z7" s="271">
        <f ca="1">Z6</f>
        <v>0.41396383811397325</v>
      </c>
      <c r="AA7" s="271">
        <f ca="1">AA6</f>
        <v>1.8540697745700523</v>
      </c>
      <c r="AB7" s="271">
        <f ca="1">AB6</f>
        <v>0.76751784001212797</v>
      </c>
      <c r="AC7" s="271"/>
      <c r="AD7" s="271">
        <f>AD6</f>
        <v>32.632000000000005</v>
      </c>
      <c r="AE7" s="271">
        <f>AE6</f>
        <v>32.02838398000322</v>
      </c>
      <c r="AF7" s="271">
        <f>AF6</f>
        <v>0.95265995669352044</v>
      </c>
      <c r="AG7" s="271">
        <f>AG6</f>
        <v>1.6810605542142403</v>
      </c>
      <c r="AH7" s="271">
        <f>AH6</f>
        <v>1.6014790747769236</v>
      </c>
      <c r="AI7" s="271"/>
    </row>
    <row r="8" spans="1:35" x14ac:dyDescent="0.25">
      <c r="A8" s="42" t="s">
        <v>86</v>
      </c>
      <c r="D8" s="272">
        <f>IF(Inputs!G14="",0,Inputs!G14)</f>
        <v>5</v>
      </c>
      <c r="E8" s="273">
        <f>E7</f>
        <v>3</v>
      </c>
      <c r="F8" s="273">
        <f ca="1">'Final Summary'!K27</f>
        <v>11.900438780020192</v>
      </c>
      <c r="G8" s="273">
        <f>'Final Summary'!L27</f>
        <v>27.375556945800781</v>
      </c>
      <c r="H8" s="273">
        <f ca="1">'Final Summary'!M27</f>
        <v>0.40952183783721907</v>
      </c>
      <c r="I8" s="273">
        <f ca="1">'Final Summary'!N27</f>
        <v>0.36628433612858424</v>
      </c>
      <c r="J8" s="272">
        <f ca="1">'PB Liquefaction Initiation'!Q11</f>
        <v>0.15000143450236353</v>
      </c>
      <c r="K8" s="272"/>
      <c r="L8" s="273">
        <f>'Final Summary'!P27</f>
        <v>10.621491593382261</v>
      </c>
      <c r="M8" s="273">
        <f>'Final Summary'!Q27</f>
        <v>46.832199771351362</v>
      </c>
      <c r="N8" s="273">
        <f>'Final Summary'!R27</f>
        <v>2.6589660085161717</v>
      </c>
      <c r="O8" s="273">
        <f>'Final Summary'!S27</f>
        <v>7.2376967184628785E-2</v>
      </c>
      <c r="P8" s="272">
        <f>'PB Liquefaction Initiation'!N44</f>
        <v>0.19244789554341832</v>
      </c>
      <c r="Q8" s="272"/>
      <c r="S8" s="81"/>
      <c r="T8" s="81"/>
      <c r="V8" s="272">
        <f>IF(Inputs!$G14="",NA(),Inputs!$G14)</f>
        <v>5</v>
      </c>
      <c r="W8" s="273">
        <f>W7</f>
        <v>3</v>
      </c>
      <c r="X8" s="273">
        <f ca="1">'Final Summary'!V27</f>
        <v>11.900438780020192</v>
      </c>
      <c r="Y8" s="273">
        <f>'Final Summary'!W27</f>
        <v>34.456560134887695</v>
      </c>
      <c r="Z8" s="273">
        <f ca="1">'Final Summary'!X27</f>
        <v>0.75372797671486647</v>
      </c>
      <c r="AA8" s="273">
        <f ca="1">'Final Summary'!Y27</f>
        <v>0.15109424382340919</v>
      </c>
      <c r="AB8" s="272">
        <f ca="1">'Det Liquefaction Initiation'!T11</f>
        <v>0.11388395869028091</v>
      </c>
      <c r="AC8" s="272"/>
      <c r="AD8" s="273">
        <f>'Final Summary'!AA27</f>
        <v>10.621491593382261</v>
      </c>
      <c r="AE8" s="273">
        <f>'Final Summary'!AB27</f>
        <v>36.955805633264397</v>
      </c>
      <c r="AF8" s="273">
        <f>'Final Summary'!AC27</f>
        <v>0.9501872677197607</v>
      </c>
      <c r="AG8" s="273">
        <f>'Final Summary'!AD27</f>
        <v>0.23835012409072004</v>
      </c>
      <c r="AH8" s="272">
        <f>'Det Liquefaction Initiation'!O44</f>
        <v>0.22647725317042719</v>
      </c>
      <c r="AI8" s="272"/>
    </row>
    <row r="9" spans="1:35" x14ac:dyDescent="0.25">
      <c r="A9" s="42" t="s">
        <v>87</v>
      </c>
      <c r="E9" s="271">
        <f>D8+E8</f>
        <v>8</v>
      </c>
      <c r="F9" s="271">
        <f ca="1">F8</f>
        <v>11.900438780020192</v>
      </c>
      <c r="G9" s="271">
        <f>G8</f>
        <v>27.375556945800781</v>
      </c>
      <c r="H9" s="271">
        <f ca="1">H8</f>
        <v>0.40952183783721907</v>
      </c>
      <c r="I9" s="271">
        <f ca="1">I8</f>
        <v>0.36628433612858424</v>
      </c>
      <c r="J9" s="271">
        <f ca="1">J8</f>
        <v>0.15000143450236353</v>
      </c>
      <c r="K9" s="271"/>
      <c r="L9" s="271">
        <f>L8</f>
        <v>10.621491593382261</v>
      </c>
      <c r="M9" s="271">
        <f>M8</f>
        <v>46.832199771351362</v>
      </c>
      <c r="N9" s="271">
        <f>N8</f>
        <v>2.6589660085161717</v>
      </c>
      <c r="O9" s="271">
        <f>O8</f>
        <v>7.2376967184628785E-2</v>
      </c>
      <c r="P9" s="271">
        <f>P8</f>
        <v>0.19244789554341832</v>
      </c>
      <c r="Q9" s="42"/>
      <c r="S9" s="81"/>
      <c r="T9" s="81"/>
      <c r="V9" s="43"/>
      <c r="W9" s="271">
        <f>V8+W8</f>
        <v>8</v>
      </c>
      <c r="X9" s="271">
        <f ca="1">X8</f>
        <v>11.900438780020192</v>
      </c>
      <c r="Y9" s="271">
        <f>Y8</f>
        <v>34.456560134887695</v>
      </c>
      <c r="Z9" s="271">
        <f ca="1">Z8</f>
        <v>0.75372797671486647</v>
      </c>
      <c r="AA9" s="271">
        <f ca="1">AA8</f>
        <v>0.15109424382340919</v>
      </c>
      <c r="AB9" s="271">
        <f ca="1">AB8</f>
        <v>0.11388395869028091</v>
      </c>
      <c r="AC9" s="271"/>
      <c r="AD9" s="271">
        <f>AD8</f>
        <v>10.621491593382261</v>
      </c>
      <c r="AE9" s="271">
        <f>AE8</f>
        <v>36.955805633264397</v>
      </c>
      <c r="AF9" s="271">
        <f>AF8</f>
        <v>0.9501872677197607</v>
      </c>
      <c r="AG9" s="271">
        <f>AG8</f>
        <v>0.23835012409072004</v>
      </c>
      <c r="AH9" s="271">
        <f>AH8</f>
        <v>0.22647725317042719</v>
      </c>
      <c r="AI9" s="271"/>
    </row>
    <row r="10" spans="1:35" x14ac:dyDescent="0.25">
      <c r="A10" s="42" t="s">
        <v>88</v>
      </c>
      <c r="D10" s="272">
        <f>IF(Inputs!G15="",0,Inputs!G15)</f>
        <v>5</v>
      </c>
      <c r="E10" s="273">
        <f>E9</f>
        <v>8</v>
      </c>
      <c r="F10" s="273">
        <f ca="1">'Final Summary'!K28</f>
        <v>13.693403668256009</v>
      </c>
      <c r="G10" s="273">
        <f>'Final Summary'!L28</f>
        <v>27.535186767578125</v>
      </c>
      <c r="H10" s="273">
        <f ca="1">'Final Summary'!M28</f>
        <v>0.4161886272075469</v>
      </c>
      <c r="I10" s="273">
        <f ca="1">'Final Summary'!N28</f>
        <v>0.39800901685415463</v>
      </c>
      <c r="J10" s="272">
        <f ca="1">'PB Liquefaction Initiation'!Q12</f>
        <v>0.165646826340756</v>
      </c>
      <c r="K10" s="272"/>
      <c r="L10" s="273">
        <f>'Final Summary'!P28</f>
        <v>13.32533678800505</v>
      </c>
      <c r="M10" s="273">
        <f>'Final Summary'!Q28</f>
        <v>49.042805837838067</v>
      </c>
      <c r="N10" s="273">
        <f>'Final Summary'!R28</f>
        <v>2.6093956450717322</v>
      </c>
      <c r="O10" s="273">
        <f>'Final Summary'!S28</f>
        <v>7.5012592581681872E-2</v>
      </c>
      <c r="P10" s="272">
        <f>'PB Liquefaction Initiation'!N45</f>
        <v>0.1957375324081809</v>
      </c>
      <c r="Q10" s="272"/>
      <c r="S10" s="81" t="s">
        <v>240</v>
      </c>
      <c r="T10" s="81"/>
      <c r="V10" s="272">
        <f>IF(Inputs!$G15="",NA(),Inputs!$G15)</f>
        <v>5</v>
      </c>
      <c r="W10" s="273">
        <f>W9</f>
        <v>8</v>
      </c>
      <c r="X10" s="273">
        <f ca="1">'Final Summary'!V28</f>
        <v>13.693403668256009</v>
      </c>
      <c r="Y10" s="273">
        <f>'Final Summary'!W28</f>
        <v>34.541889190673828</v>
      </c>
      <c r="Z10" s="273">
        <f ca="1">'Final Summary'!X28</f>
        <v>0.76658707737983955</v>
      </c>
      <c r="AA10" s="273">
        <f ca="1">'Final Summary'!Y28</f>
        <v>0.16405473453769903</v>
      </c>
      <c r="AB10" s="272">
        <f ca="1">'Det Liquefaction Initiation'!T12</f>
        <v>0.12576223947958012</v>
      </c>
      <c r="AC10" s="272"/>
      <c r="AD10" s="273">
        <f>'Final Summary'!AA28</f>
        <v>13.32533678800505</v>
      </c>
      <c r="AE10" s="273">
        <f>'Final Summary'!AB28</f>
        <v>39.374718423613992</v>
      </c>
      <c r="AF10" s="273">
        <f>'Final Summary'!AC28</f>
        <v>0.94666571539436606</v>
      </c>
      <c r="AG10" s="273">
        <f>'Final Summary'!AD28</f>
        <v>0.24332620501597385</v>
      </c>
      <c r="AH10" s="272">
        <f>'Det Liquefaction Initiation'!O45</f>
        <v>0.23034857594564306</v>
      </c>
      <c r="AI10" s="272"/>
    </row>
    <row r="11" spans="1:35" x14ac:dyDescent="0.25">
      <c r="A11" s="42" t="s">
        <v>89</v>
      </c>
      <c r="E11" s="271">
        <f>D10+E10</f>
        <v>13</v>
      </c>
      <c r="F11" s="271">
        <f ca="1">F10</f>
        <v>13.693403668256009</v>
      </c>
      <c r="G11" s="271">
        <f>G10</f>
        <v>27.535186767578125</v>
      </c>
      <c r="H11" s="271">
        <f ca="1">H10</f>
        <v>0.4161886272075469</v>
      </c>
      <c r="I11" s="271">
        <f ca="1">I10</f>
        <v>0.39800901685415463</v>
      </c>
      <c r="J11" s="271">
        <f ca="1">J10</f>
        <v>0.165646826340756</v>
      </c>
      <c r="K11" s="271"/>
      <c r="L11" s="271">
        <f>L10</f>
        <v>13.32533678800505</v>
      </c>
      <c r="M11" s="271">
        <f>M10</f>
        <v>49.042805837838067</v>
      </c>
      <c r="N11" s="271">
        <f>N10</f>
        <v>2.6093956450717322</v>
      </c>
      <c r="O11" s="271">
        <f>O10</f>
        <v>7.5012592581681872E-2</v>
      </c>
      <c r="P11" s="271">
        <f>P10</f>
        <v>0.1957375324081809</v>
      </c>
      <c r="Q11" s="42"/>
      <c r="S11" s="287" t="s">
        <v>238</v>
      </c>
      <c r="T11" s="287" t="s">
        <v>241</v>
      </c>
      <c r="V11" s="43"/>
      <c r="W11" s="271">
        <f>V10+W10</f>
        <v>13</v>
      </c>
      <c r="X11" s="271">
        <f ca="1">X10</f>
        <v>13.693403668256009</v>
      </c>
      <c r="Y11" s="271">
        <f>Y10</f>
        <v>34.541889190673828</v>
      </c>
      <c r="Z11" s="271">
        <f ca="1">Z10</f>
        <v>0.76658707737983955</v>
      </c>
      <c r="AA11" s="271">
        <f ca="1">AA10</f>
        <v>0.16405473453769903</v>
      </c>
      <c r="AB11" s="271">
        <f ca="1">AB10</f>
        <v>0.12576223947958012</v>
      </c>
      <c r="AC11" s="271"/>
      <c r="AD11" s="271">
        <f>AD10</f>
        <v>13.32533678800505</v>
      </c>
      <c r="AE11" s="271">
        <f>AE10</f>
        <v>39.374718423613992</v>
      </c>
      <c r="AF11" s="271">
        <f>AF10</f>
        <v>0.94666571539436606</v>
      </c>
      <c r="AG11" s="271">
        <f>AG10</f>
        <v>0.24332620501597385</v>
      </c>
      <c r="AH11" s="271">
        <f>AH10</f>
        <v>0.23034857594564306</v>
      </c>
      <c r="AI11" s="271"/>
    </row>
    <row r="12" spans="1:35" x14ac:dyDescent="0.25">
      <c r="D12" s="272">
        <f>IF(Inputs!G16="",0,Inputs!G16)</f>
        <v>4</v>
      </c>
      <c r="E12" s="273">
        <f>E11</f>
        <v>13</v>
      </c>
      <c r="F12" s="273">
        <f ca="1">'Final Summary'!K29</f>
        <v>7.5891695726420965</v>
      </c>
      <c r="G12" s="273" t="e">
        <f>'Final Summary'!L29</f>
        <v>#N/A</v>
      </c>
      <c r="H12" s="273" t="e">
        <f ca="1">'Final Summary'!M29</f>
        <v>#N/A</v>
      </c>
      <c r="I12" s="273" t="e">
        <f ca="1">'Final Summary'!N29</f>
        <v>#N/A</v>
      </c>
      <c r="J12" s="272">
        <f ca="1">'PB Liquefaction Initiation'!Q13</f>
        <v>0.11608672878067261</v>
      </c>
      <c r="K12" s="272"/>
      <c r="L12" s="273">
        <f>'Final Summary'!P29</f>
        <v>4.0320252341104634</v>
      </c>
      <c r="M12" s="273" t="e">
        <f>'Final Summary'!Q29</f>
        <v>#N/A</v>
      </c>
      <c r="N12" s="273" t="e">
        <f>'Final Summary'!R29</f>
        <v>#N/A</v>
      </c>
      <c r="O12" s="273" t="e">
        <f>'Final Summary'!S29</f>
        <v>#N/A</v>
      </c>
      <c r="P12" s="272">
        <f>'PB Liquefaction Initiation'!N46</f>
        <v>9.0382852623987819E-2</v>
      </c>
      <c r="Q12" s="272"/>
      <c r="S12" s="81">
        <v>0</v>
      </c>
      <c r="T12" s="81">
        <v>1</v>
      </c>
      <c r="V12" s="272">
        <f>IF(Inputs!$G16="",NA(),Inputs!$G16)</f>
        <v>4</v>
      </c>
      <c r="W12" s="273">
        <f>W11</f>
        <v>13</v>
      </c>
      <c r="X12" s="273">
        <f ca="1">'Final Summary'!V29</f>
        <v>7.5891695726420965</v>
      </c>
      <c r="Y12" s="273" t="e">
        <f>'Final Summary'!W29</f>
        <v>#N/A</v>
      </c>
      <c r="Z12" s="273" t="e">
        <f>'Final Summary'!X29</f>
        <v>#N/A</v>
      </c>
      <c r="AA12" s="273" t="e">
        <f ca="1">'Final Summary'!Y29</f>
        <v>#N/A</v>
      </c>
      <c r="AB12" s="272">
        <f ca="1">'Det Liquefaction Initiation'!T13</f>
        <v>8.8135265298010565E-2</v>
      </c>
      <c r="AC12" s="272"/>
      <c r="AD12" s="273">
        <f>'Final Summary'!AA29</f>
        <v>4.0320252341104634</v>
      </c>
      <c r="AE12" s="273" t="e">
        <f>'Final Summary'!AB29</f>
        <v>#N/A</v>
      </c>
      <c r="AF12" s="273" t="e">
        <f>'Final Summary'!AC29</f>
        <v>#N/A</v>
      </c>
      <c r="AG12" s="273" t="e">
        <f>'Final Summary'!AD29</f>
        <v>#N/A</v>
      </c>
      <c r="AH12" s="272">
        <f>'Det Liquefaction Initiation'!O46</f>
        <v>0.10636468711797432</v>
      </c>
      <c r="AI12" s="272"/>
    </row>
    <row r="13" spans="1:35" x14ac:dyDescent="0.25">
      <c r="A13" s="56" t="s">
        <v>194</v>
      </c>
      <c r="E13" s="271">
        <f>D12+E12</f>
        <v>17</v>
      </c>
      <c r="F13" s="271">
        <f ca="1">F12</f>
        <v>7.5891695726420965</v>
      </c>
      <c r="G13" s="271" t="e">
        <f>G12</f>
        <v>#N/A</v>
      </c>
      <c r="H13" s="271" t="e">
        <f ca="1">H12</f>
        <v>#N/A</v>
      </c>
      <c r="I13" s="271" t="e">
        <f ca="1">I12</f>
        <v>#N/A</v>
      </c>
      <c r="J13" s="271">
        <f ca="1">J12</f>
        <v>0.11608672878067261</v>
      </c>
      <c r="K13" s="271"/>
      <c r="L13" s="271">
        <f>L12</f>
        <v>4.0320252341104634</v>
      </c>
      <c r="M13" s="271" t="e">
        <f>M12</f>
        <v>#N/A</v>
      </c>
      <c r="N13" s="271" t="e">
        <f>N12</f>
        <v>#N/A</v>
      </c>
      <c r="O13" s="271" t="e">
        <f>O12</f>
        <v>#N/A</v>
      </c>
      <c r="P13" s="271">
        <f>P12</f>
        <v>9.0382852623987819E-2</v>
      </c>
      <c r="Q13" s="42"/>
      <c r="S13" s="289">
        <f>MAX($E$6:$E$45)</f>
        <v>59</v>
      </c>
      <c r="T13" s="81">
        <v>1</v>
      </c>
      <c r="V13" s="43"/>
      <c r="W13" s="271">
        <f>V12+W12</f>
        <v>17</v>
      </c>
      <c r="X13" s="271">
        <f ca="1">X12</f>
        <v>7.5891695726420965</v>
      </c>
      <c r="Y13" s="271" t="e">
        <f>Y12</f>
        <v>#N/A</v>
      </c>
      <c r="Z13" s="271" t="e">
        <f>Z12</f>
        <v>#N/A</v>
      </c>
      <c r="AA13" s="271" t="e">
        <f ca="1">AA12</f>
        <v>#N/A</v>
      </c>
      <c r="AB13" s="271">
        <f ca="1">AB12</f>
        <v>8.8135265298010565E-2</v>
      </c>
      <c r="AC13" s="271"/>
      <c r="AD13" s="271">
        <f>AD12</f>
        <v>4.0320252341104634</v>
      </c>
      <c r="AE13" s="271" t="e">
        <f>AE12</f>
        <v>#N/A</v>
      </c>
      <c r="AF13" s="271" t="e">
        <f>AF12</f>
        <v>#N/A</v>
      </c>
      <c r="AG13" s="271" t="e">
        <f>AG12</f>
        <v>#N/A</v>
      </c>
      <c r="AH13" s="271">
        <f>AH12</f>
        <v>0.10636468711797432</v>
      </c>
      <c r="AI13" s="271"/>
    </row>
    <row r="14" spans="1:35" x14ac:dyDescent="0.25">
      <c r="A14" s="42" t="s">
        <v>215</v>
      </c>
      <c r="D14" s="272">
        <f>IF(Inputs!G17="",0,Inputs!G17)</f>
        <v>7</v>
      </c>
      <c r="E14" s="273">
        <f>E13</f>
        <v>17</v>
      </c>
      <c r="F14" s="273">
        <f ca="1">'Final Summary'!K30</f>
        <v>21.708473911296679</v>
      </c>
      <c r="G14" s="273">
        <f>'Final Summary'!L30</f>
        <v>26.788627624511719</v>
      </c>
      <c r="H14" s="273">
        <f ca="1">'Final Summary'!M30</f>
        <v>0.38666916463062412</v>
      </c>
      <c r="I14" s="273">
        <f ca="1">'Final Summary'!N30</f>
        <v>0.67349663088987843</v>
      </c>
      <c r="J14" s="272">
        <f ca="1">'PB Liquefaction Initiation'!Q14</f>
        <v>0.26042037964772907</v>
      </c>
      <c r="K14" s="272"/>
      <c r="L14" s="273">
        <f>'Final Summary'!P30</f>
        <v>22.247219944730496</v>
      </c>
      <c r="M14" s="273">
        <f>'Final Summary'!Q30</f>
        <v>50.606475950225416</v>
      </c>
      <c r="N14" s="273">
        <f>'Final Summary'!R30</f>
        <v>2.4282607055619039</v>
      </c>
      <c r="O14" s="273">
        <f>'Final Summary'!S30</f>
        <v>0.12789971804790864</v>
      </c>
      <c r="P14" s="272">
        <f>'PB Liquefaction Initiation'!N47</f>
        <v>0.31057385958818323</v>
      </c>
      <c r="Q14" s="272"/>
      <c r="V14" s="272">
        <f>IF(Inputs!$G17="",NA(),Inputs!$G17)</f>
        <v>7</v>
      </c>
      <c r="W14" s="273">
        <f>W13</f>
        <v>17</v>
      </c>
      <c r="X14" s="273">
        <f ca="1">'Final Summary'!V30</f>
        <v>21.708473911296679</v>
      </c>
      <c r="Y14" s="273">
        <f>'Final Summary'!W30</f>
        <v>34.183750152587891</v>
      </c>
      <c r="Z14" s="273">
        <f ca="1">'Final Summary'!X30</f>
        <v>0.71468998628801128</v>
      </c>
      <c r="AA14" s="273">
        <f ca="1">'Final Summary'!Y30</f>
        <v>0.27664601158220065</v>
      </c>
      <c r="AB14" s="272">
        <f ca="1">'Det Liquefaction Initiation'!T14</f>
        <v>0.19771613422431597</v>
      </c>
      <c r="AC14" s="272"/>
      <c r="AD14" s="273">
        <f>'Final Summary'!AA30</f>
        <v>22.247219944730496</v>
      </c>
      <c r="AE14" s="273">
        <f>'Final Summary'!AB30</f>
        <v>41.802703817817168</v>
      </c>
      <c r="AF14" s="273">
        <f>'Final Summary'!AC30</f>
        <v>0.93793401402117049</v>
      </c>
      <c r="AG14" s="273">
        <f>'Final Summary'!AD30</f>
        <v>0.38967633874842733</v>
      </c>
      <c r="AH14" s="272">
        <f>'Det Liquefaction Initiation'!O47</f>
        <v>0.36549069257138583</v>
      </c>
      <c r="AI14" s="272"/>
    </row>
    <row r="15" spans="1:35" x14ac:dyDescent="0.25">
      <c r="A15" s="42" t="s">
        <v>216</v>
      </c>
      <c r="E15" s="271">
        <f>D14+E14</f>
        <v>24</v>
      </c>
      <c r="F15" s="271">
        <f ca="1">F14</f>
        <v>21.708473911296679</v>
      </c>
      <c r="G15" s="271">
        <f>G14</f>
        <v>26.788627624511719</v>
      </c>
      <c r="H15" s="271">
        <f ca="1">H14</f>
        <v>0.38666916463062412</v>
      </c>
      <c r="I15" s="271">
        <f ca="1">I14</f>
        <v>0.67349663088987843</v>
      </c>
      <c r="J15" s="271">
        <f ca="1">J14</f>
        <v>0.26042037964772907</v>
      </c>
      <c r="K15" s="271"/>
      <c r="L15" s="271">
        <f>L14</f>
        <v>22.247219944730496</v>
      </c>
      <c r="M15" s="271">
        <f>M14</f>
        <v>50.606475950225416</v>
      </c>
      <c r="N15" s="271">
        <f>N14</f>
        <v>2.4282607055619039</v>
      </c>
      <c r="O15" s="271">
        <f>O14</f>
        <v>0.12789971804790864</v>
      </c>
      <c r="P15" s="271">
        <f>P14</f>
        <v>0.31057385958818323</v>
      </c>
      <c r="Q15" s="42"/>
      <c r="V15" s="43"/>
      <c r="W15" s="271">
        <f>V14+W14</f>
        <v>24</v>
      </c>
      <c r="X15" s="271">
        <f ca="1">X14</f>
        <v>21.708473911296679</v>
      </c>
      <c r="Y15" s="271">
        <f>Y14</f>
        <v>34.183750152587891</v>
      </c>
      <c r="Z15" s="271">
        <f ca="1">Z14</f>
        <v>0.71468998628801128</v>
      </c>
      <c r="AA15" s="271">
        <f ca="1">AA14</f>
        <v>0.27664601158220065</v>
      </c>
      <c r="AB15" s="271">
        <f ca="1">AB14</f>
        <v>0.19771613422431597</v>
      </c>
      <c r="AC15" s="271"/>
      <c r="AD15" s="271">
        <f>AD14</f>
        <v>22.247219944730496</v>
      </c>
      <c r="AE15" s="271">
        <f>AE14</f>
        <v>41.802703817817168</v>
      </c>
      <c r="AF15" s="271">
        <f>AF14</f>
        <v>0.93793401402117049</v>
      </c>
      <c r="AG15" s="271">
        <f>AG14</f>
        <v>0.38967633874842733</v>
      </c>
      <c r="AH15" s="271">
        <f>AH14</f>
        <v>0.36549069257138583</v>
      </c>
      <c r="AI15" s="271"/>
    </row>
    <row r="16" spans="1:35" x14ac:dyDescent="0.25">
      <c r="D16" s="272">
        <f>IF(Inputs!G18="",0,Inputs!G18)</f>
        <v>3</v>
      </c>
      <c r="E16" s="273">
        <f>E15</f>
        <v>24</v>
      </c>
      <c r="F16" s="273">
        <f ca="1">'Final Summary'!K31</f>
        <v>29.14039966028972</v>
      </c>
      <c r="G16" s="273">
        <f>'Final Summary'!L31</f>
        <v>25.683929443359375</v>
      </c>
      <c r="H16" s="273">
        <f ca="1">'Final Summary'!M31</f>
        <v>0.34978821385211095</v>
      </c>
      <c r="I16" s="273">
        <f ca="1">'Final Summary'!N31</f>
        <v>1.4196896207753118</v>
      </c>
      <c r="J16" s="272">
        <f ca="1">'PB Liquefaction Initiation'!Q15</f>
        <v>0.49659069667537709</v>
      </c>
      <c r="K16" s="272"/>
      <c r="L16" s="273">
        <f>'Final Summary'!P31</f>
        <v>30.426482551232123</v>
      </c>
      <c r="M16" s="273">
        <f>'Final Summary'!Q31</f>
        <v>50.629335939451124</v>
      </c>
      <c r="N16" s="273">
        <f>'Final Summary'!R31</f>
        <v>2.2895929161369906</v>
      </c>
      <c r="O16" s="273">
        <f>'Final Summary'!S31</f>
        <v>0.23106955639281196</v>
      </c>
      <c r="P16" s="272">
        <f>'PB Liquefaction Initiation'!N48</f>
        <v>0.52905521945189915</v>
      </c>
      <c r="Q16" s="272"/>
      <c r="V16" s="272">
        <f>IF(Inputs!$G18="",NA(),Inputs!$G18)</f>
        <v>3</v>
      </c>
      <c r="W16" s="273">
        <f>W15</f>
        <v>24</v>
      </c>
      <c r="X16" s="273">
        <f ca="1">'Final Summary'!V31</f>
        <v>29.14039966028972</v>
      </c>
      <c r="Y16" s="273">
        <f>'Final Summary'!W31</f>
        <v>33.668972015380859</v>
      </c>
      <c r="Z16" s="273">
        <f ca="1">'Final Summary'!X31</f>
        <v>0.64883549021389109</v>
      </c>
      <c r="AA16" s="273">
        <f ca="1">'Final Summary'!Y31</f>
        <v>0.58107357361902523</v>
      </c>
      <c r="AB16" s="272">
        <f ca="1">'Det Liquefaction Initiation'!T15</f>
        <v>0.37702115698943778</v>
      </c>
      <c r="AC16" s="272"/>
      <c r="AD16" s="273">
        <f>'Final Summary'!AA31</f>
        <v>30.426482551232123</v>
      </c>
      <c r="AE16" s="273">
        <f>'Final Summary'!AB31</f>
        <v>42.55745264001893</v>
      </c>
      <c r="AF16" s="273">
        <f>'Final Summary'!AC31</f>
        <v>0.93257751573693215</v>
      </c>
      <c r="AG16" s="273">
        <f>'Final Summary'!AD31</f>
        <v>0.6676171516200663</v>
      </c>
      <c r="AH16" s="272">
        <f>'Det Liquefaction Initiation'!O48</f>
        <v>0.62260474472120819</v>
      </c>
      <c r="AI16" s="272"/>
    </row>
    <row r="17" spans="1:35" x14ac:dyDescent="0.25">
      <c r="A17" s="56" t="s">
        <v>195</v>
      </c>
      <c r="E17" s="271">
        <f>D16+E16</f>
        <v>27</v>
      </c>
      <c r="F17" s="271">
        <f ca="1">F16</f>
        <v>29.14039966028972</v>
      </c>
      <c r="G17" s="271">
        <f>G16</f>
        <v>25.683929443359375</v>
      </c>
      <c r="H17" s="271">
        <f ca="1">H16</f>
        <v>0.34978821385211095</v>
      </c>
      <c r="I17" s="271">
        <f ca="1">I16</f>
        <v>1.4196896207753118</v>
      </c>
      <c r="J17" s="271">
        <f ca="1">J16</f>
        <v>0.49659069667537709</v>
      </c>
      <c r="K17" s="271"/>
      <c r="L17" s="271">
        <f>L16</f>
        <v>30.426482551232123</v>
      </c>
      <c r="M17" s="271">
        <f>M16</f>
        <v>50.629335939451124</v>
      </c>
      <c r="N17" s="271">
        <f>N16</f>
        <v>2.2895929161369906</v>
      </c>
      <c r="O17" s="271">
        <f>O16</f>
        <v>0.23106955639281196</v>
      </c>
      <c r="P17" s="271">
        <f>P16</f>
        <v>0.52905521945189915</v>
      </c>
      <c r="Q17" s="42"/>
      <c r="V17" s="43"/>
      <c r="W17" s="271">
        <f>V16+W16</f>
        <v>27</v>
      </c>
      <c r="X17" s="271">
        <f ca="1">X16</f>
        <v>29.14039966028972</v>
      </c>
      <c r="Y17" s="271">
        <f>Y16</f>
        <v>33.668972015380859</v>
      </c>
      <c r="Z17" s="271">
        <f ca="1">Z16</f>
        <v>0.64883549021389109</v>
      </c>
      <c r="AA17" s="271">
        <f ca="1">AA16</f>
        <v>0.58107357361902523</v>
      </c>
      <c r="AB17" s="271">
        <f ca="1">AB16</f>
        <v>0.37702115698943778</v>
      </c>
      <c r="AC17" s="271"/>
      <c r="AD17" s="271">
        <f>AD16</f>
        <v>30.426482551232123</v>
      </c>
      <c r="AE17" s="271">
        <f>AE16</f>
        <v>42.55745264001893</v>
      </c>
      <c r="AF17" s="271">
        <f>AF16</f>
        <v>0.93257751573693215</v>
      </c>
      <c r="AG17" s="271">
        <f>AG16</f>
        <v>0.6676171516200663</v>
      </c>
      <c r="AH17" s="271">
        <f>AH16</f>
        <v>0.62260474472120819</v>
      </c>
      <c r="AI17" s="271"/>
    </row>
    <row r="18" spans="1:35" x14ac:dyDescent="0.25">
      <c r="A18" s="42">
        <v>1</v>
      </c>
      <c r="D18" s="272">
        <f>IF(Inputs!G19="",0,Inputs!G19)</f>
        <v>7</v>
      </c>
      <c r="E18" s="273">
        <f>E17</f>
        <v>27</v>
      </c>
      <c r="F18" s="273">
        <f ca="1">'Final Summary'!K32</f>
        <v>21.337630575889257</v>
      </c>
      <c r="G18" s="273">
        <f>'Final Summary'!L32</f>
        <v>26.725074768066406</v>
      </c>
      <c r="H18" s="273">
        <f ca="1">'Final Summary'!M32</f>
        <v>0.38434246369067387</v>
      </c>
      <c r="I18" s="273">
        <f ca="1">'Final Summary'!N32</f>
        <v>0.66174912583443657</v>
      </c>
      <c r="J18" s="272">
        <f ca="1">'PB Liquefaction Initiation'!Q16</f>
        <v>0.25433828936835712</v>
      </c>
      <c r="K18" s="272"/>
      <c r="L18" s="273">
        <f>'Final Summary'!P32</f>
        <v>20.884133717749325</v>
      </c>
      <c r="M18" s="273">
        <f>'Final Summary'!Q32</f>
        <v>50.3009279074316</v>
      </c>
      <c r="N18" s="273">
        <f>'Final Summary'!R32</f>
        <v>2.1275275435569823</v>
      </c>
      <c r="O18" s="273">
        <f>'Final Summary'!S32</f>
        <v>0.11845791274525296</v>
      </c>
      <c r="P18" s="272">
        <f>'PB Liquefaction Initiation'!N49</f>
        <v>0.25202247211779544</v>
      </c>
      <c r="Q18" s="272"/>
      <c r="V18" s="272">
        <f>IF(Inputs!$G19="",NA(),Inputs!$G19)</f>
        <v>7</v>
      </c>
      <c r="W18" s="273">
        <f>W17</f>
        <v>27</v>
      </c>
      <c r="X18" s="273">
        <f ca="1">'Final Summary'!V32</f>
        <v>21.337630575889257</v>
      </c>
      <c r="Y18" s="273">
        <f>'Final Summary'!W32</f>
        <v>34.15599250793457</v>
      </c>
      <c r="Z18" s="273">
        <f ca="1">'Final Summary'!X32</f>
        <v>0.71089441090745842</v>
      </c>
      <c r="AA18" s="273">
        <f ca="1">'Final Summary'!Y32</f>
        <v>0.27162753281988083</v>
      </c>
      <c r="AB18" s="272">
        <f ca="1">'Det Liquefaction Initiation'!T16</f>
        <v>0.19309849493023551</v>
      </c>
      <c r="AC18" s="272"/>
      <c r="AD18" s="273">
        <f>'Final Summary'!AA32</f>
        <v>20.884133717749325</v>
      </c>
      <c r="AE18" s="273">
        <f>'Final Summary'!AB32</f>
        <v>43.150591476199544</v>
      </c>
      <c r="AF18" s="273">
        <f>'Final Summary'!AC32</f>
        <v>0.92645544117795442</v>
      </c>
      <c r="AG18" s="273">
        <f>'Final Summary'!AD32</f>
        <v>0.32012983712466553</v>
      </c>
      <c r="AH18" s="272">
        <f>'Det Liquefaction Initiation'!O49</f>
        <v>0.29658602948755869</v>
      </c>
      <c r="AI18" s="272"/>
    </row>
    <row r="19" spans="1:35" x14ac:dyDescent="0.25">
      <c r="A19" s="42">
        <v>2</v>
      </c>
      <c r="E19" s="271">
        <f>D18+E18</f>
        <v>34</v>
      </c>
      <c r="F19" s="271">
        <f ca="1">F18</f>
        <v>21.337630575889257</v>
      </c>
      <c r="G19" s="271">
        <f>G18</f>
        <v>26.725074768066406</v>
      </c>
      <c r="H19" s="271">
        <f ca="1">H18</f>
        <v>0.38434246369067387</v>
      </c>
      <c r="I19" s="271">
        <f ca="1">I18</f>
        <v>0.66174912583443657</v>
      </c>
      <c r="J19" s="271">
        <f ca="1">J18</f>
        <v>0.25433828936835712</v>
      </c>
      <c r="K19" s="271"/>
      <c r="L19" s="271">
        <f>L18</f>
        <v>20.884133717749325</v>
      </c>
      <c r="M19" s="271">
        <f>M18</f>
        <v>50.3009279074316</v>
      </c>
      <c r="N19" s="271">
        <f>N18</f>
        <v>2.1275275435569823</v>
      </c>
      <c r="O19" s="271">
        <f>O18</f>
        <v>0.11845791274525296</v>
      </c>
      <c r="P19" s="271">
        <f>P18</f>
        <v>0.25202247211779544</v>
      </c>
      <c r="Q19" s="42"/>
      <c r="V19" s="43"/>
      <c r="W19" s="271">
        <f>V18+W18</f>
        <v>34</v>
      </c>
      <c r="X19" s="271">
        <f ca="1">X18</f>
        <v>21.337630575889257</v>
      </c>
      <c r="Y19" s="271">
        <f>Y18</f>
        <v>34.15599250793457</v>
      </c>
      <c r="Z19" s="271">
        <f ca="1">Z18</f>
        <v>0.71089441090745842</v>
      </c>
      <c r="AA19" s="271">
        <f ca="1">AA18</f>
        <v>0.27162753281988083</v>
      </c>
      <c r="AB19" s="271">
        <f ca="1">AB18</f>
        <v>0.19309849493023551</v>
      </c>
      <c r="AC19" s="271"/>
      <c r="AD19" s="271">
        <f>AD18</f>
        <v>20.884133717749325</v>
      </c>
      <c r="AE19" s="271">
        <f>AE18</f>
        <v>43.150591476199544</v>
      </c>
      <c r="AF19" s="271">
        <f>AF18</f>
        <v>0.92645544117795442</v>
      </c>
      <c r="AG19" s="271">
        <f>AG18</f>
        <v>0.32012983712466553</v>
      </c>
      <c r="AH19" s="271">
        <f>AH18</f>
        <v>0.29658602948755869</v>
      </c>
      <c r="AI19" s="271"/>
    </row>
    <row r="20" spans="1:35" x14ac:dyDescent="0.25">
      <c r="D20" s="272">
        <f>IF(Inputs!G20="",0,Inputs!G20)</f>
        <v>3</v>
      </c>
      <c r="E20" s="273">
        <f>E19</f>
        <v>34</v>
      </c>
      <c r="F20" s="273">
        <f ca="1">'Final Summary'!K33</f>
        <v>9.4876390112066709</v>
      </c>
      <c r="G20" s="273">
        <f>'Final Summary'!L33</f>
        <v>27.469764709472656</v>
      </c>
      <c r="H20" s="273">
        <f ca="1">'Final Summary'!M33</f>
        <v>0.41343030456417246</v>
      </c>
      <c r="I20" s="273">
        <f ca="1">'Final Summary'!N33</f>
        <v>0.31547101888912921</v>
      </c>
      <c r="J20" s="272">
        <f ca="1">'PB Liquefaction Initiation'!Q17</f>
        <v>0.1304252794205025</v>
      </c>
      <c r="K20" s="272"/>
      <c r="L20" s="273">
        <f>'Final Summary'!P33</f>
        <v>9.1514758932516074</v>
      </c>
      <c r="M20" s="273">
        <f>'Final Summary'!Q33</f>
        <v>49.75511132234022</v>
      </c>
      <c r="N20" s="273">
        <f>'Final Summary'!R33</f>
        <v>1.9607514306875602</v>
      </c>
      <c r="O20" s="273">
        <f>'Final Summary'!S33</f>
        <v>5.2632258672442339E-2</v>
      </c>
      <c r="P20" s="272">
        <f>'PB Liquefaction Initiation'!N50</f>
        <v>0.10319877649230906</v>
      </c>
      <c r="Q20" s="272"/>
      <c r="V20" s="272">
        <f>IF(Inputs!$G20="",NA(),Inputs!$G20)</f>
        <v>3</v>
      </c>
      <c r="W20" s="273">
        <f>W19</f>
        <v>34</v>
      </c>
      <c r="X20" s="273">
        <f ca="1">'Final Summary'!V33</f>
        <v>9.4876390112066709</v>
      </c>
      <c r="Y20" s="273">
        <f>'Final Summary'!W33</f>
        <v>34.513477325439453</v>
      </c>
      <c r="Z20" s="273">
        <f ca="1">'Final Summary'!X33</f>
        <v>0.76226618833284232</v>
      </c>
      <c r="AA20" s="273">
        <f ca="1">'Final Summary'!Y33</f>
        <v>0.12990392170651952</v>
      </c>
      <c r="AB20" s="272">
        <f ca="1">'Det Liquefaction Initiation'!T17</f>
        <v>9.9021367248716616E-2</v>
      </c>
      <c r="AC20" s="272"/>
      <c r="AD20" s="273">
        <f>'Final Summary'!AA33</f>
        <v>9.1514758932516074</v>
      </c>
      <c r="AE20" s="273">
        <f>'Final Summary'!AB33</f>
        <v>43.626351273603085</v>
      </c>
      <c r="AF20" s="273">
        <f>'Final Summary'!AC33</f>
        <v>0.91948539635050286</v>
      </c>
      <c r="AG20" s="273">
        <f>'Final Summary'!AD33</f>
        <v>0.13208123927108129</v>
      </c>
      <c r="AH20" s="272">
        <f>'Det Liquefaction Initiation'!O50</f>
        <v>0.12144677064163578</v>
      </c>
      <c r="AI20" s="272"/>
    </row>
    <row r="21" spans="1:35" x14ac:dyDescent="0.25">
      <c r="A21" s="56" t="s">
        <v>197</v>
      </c>
      <c r="E21" s="271">
        <f>D20+E20</f>
        <v>37</v>
      </c>
      <c r="F21" s="271">
        <f ca="1">F20</f>
        <v>9.4876390112066709</v>
      </c>
      <c r="G21" s="271">
        <f>G20</f>
        <v>27.469764709472656</v>
      </c>
      <c r="H21" s="271">
        <f ca="1">H20</f>
        <v>0.41343030456417246</v>
      </c>
      <c r="I21" s="271">
        <f ca="1">I20</f>
        <v>0.31547101888912921</v>
      </c>
      <c r="J21" s="271">
        <f ca="1">J20</f>
        <v>0.1304252794205025</v>
      </c>
      <c r="K21" s="271"/>
      <c r="L21" s="271">
        <f>L20</f>
        <v>9.1514758932516074</v>
      </c>
      <c r="M21" s="271">
        <f>M20</f>
        <v>49.75511132234022</v>
      </c>
      <c r="N21" s="271">
        <f>N20</f>
        <v>1.9607514306875602</v>
      </c>
      <c r="O21" s="271">
        <f>O20</f>
        <v>5.2632258672442339E-2</v>
      </c>
      <c r="P21" s="271">
        <f>P20</f>
        <v>0.10319877649230906</v>
      </c>
      <c r="Q21" s="42"/>
      <c r="V21" s="43"/>
      <c r="W21" s="271">
        <f>V20+W20</f>
        <v>37</v>
      </c>
      <c r="X21" s="271">
        <f ca="1">X20</f>
        <v>9.4876390112066709</v>
      </c>
      <c r="Y21" s="271">
        <f>Y20</f>
        <v>34.513477325439453</v>
      </c>
      <c r="Z21" s="271">
        <f ca="1">Z20</f>
        <v>0.76226618833284232</v>
      </c>
      <c r="AA21" s="271">
        <f ca="1">AA20</f>
        <v>0.12990392170651952</v>
      </c>
      <c r="AB21" s="271">
        <f ca="1">AB20</f>
        <v>9.9021367248716616E-2</v>
      </c>
      <c r="AC21" s="271"/>
      <c r="AD21" s="271">
        <f>AD20</f>
        <v>9.1514758932516074</v>
      </c>
      <c r="AE21" s="271">
        <f>AE20</f>
        <v>43.626351273603085</v>
      </c>
      <c r="AF21" s="271">
        <f>AF20</f>
        <v>0.91948539635050286</v>
      </c>
      <c r="AG21" s="271">
        <f>AG20</f>
        <v>0.13208123927108129</v>
      </c>
      <c r="AH21" s="271">
        <f>AH20</f>
        <v>0.12144677064163578</v>
      </c>
      <c r="AI21" s="271"/>
    </row>
    <row r="22" spans="1:35" x14ac:dyDescent="0.25">
      <c r="A22" s="42" t="b">
        <v>1</v>
      </c>
      <c r="D22" s="272">
        <f>IF(Inputs!G21="",0,Inputs!G21)</f>
        <v>8</v>
      </c>
      <c r="E22" s="273">
        <f>E21</f>
        <v>37</v>
      </c>
      <c r="F22" s="273">
        <f ca="1">'Final Summary'!K34</f>
        <v>7.3030476983682764</v>
      </c>
      <c r="G22" s="273" t="e">
        <f>'Final Summary'!L34</f>
        <v>#N/A</v>
      </c>
      <c r="H22" s="273" t="e">
        <f ca="1">'Final Summary'!M34</f>
        <v>#N/A</v>
      </c>
      <c r="I22" s="273" t="e">
        <f ca="1">'Final Summary'!N34</f>
        <v>#N/A</v>
      </c>
      <c r="J22" s="272">
        <f ca="1">'PB Liquefaction Initiation'!Q18</f>
        <v>0.11400729285551024</v>
      </c>
      <c r="K22" s="272"/>
      <c r="L22" s="273">
        <f>'Final Summary'!P34</f>
        <v>4.144728715335928</v>
      </c>
      <c r="M22" s="273" t="e">
        <f>'Final Summary'!Q34</f>
        <v>#N/A</v>
      </c>
      <c r="N22" s="273" t="e">
        <f>'Final Summary'!R34</f>
        <v>#N/A</v>
      </c>
      <c r="O22" s="273" t="e">
        <f>'Final Summary'!S34</f>
        <v>#N/A</v>
      </c>
      <c r="P22" s="272">
        <f>'PB Liquefaction Initiation'!N51</f>
        <v>6.8970953672722005E-2</v>
      </c>
      <c r="Q22" s="272"/>
      <c r="V22" s="272">
        <f>IF(Inputs!$G21="",NA(),Inputs!$G21)</f>
        <v>8</v>
      </c>
      <c r="W22" s="273">
        <f>W21</f>
        <v>37</v>
      </c>
      <c r="X22" s="273">
        <f ca="1">'Final Summary'!V34</f>
        <v>7.3030476983682764</v>
      </c>
      <c r="Y22" s="273" t="e">
        <f>'Final Summary'!W34</f>
        <v>#N/A</v>
      </c>
      <c r="Z22" s="273" t="e">
        <f>'Final Summary'!X34</f>
        <v>#N/A</v>
      </c>
      <c r="AA22" s="273" t="e">
        <f ca="1">'Final Summary'!Y34</f>
        <v>#N/A</v>
      </c>
      <c r="AB22" s="272">
        <f ca="1">'Det Liquefaction Initiation'!T18</f>
        <v>8.6556517762789179E-2</v>
      </c>
      <c r="AC22" s="272"/>
      <c r="AD22" s="273">
        <f>'Final Summary'!AA34</f>
        <v>4.144728715335928</v>
      </c>
      <c r="AE22" s="273" t="e">
        <f>'Final Summary'!AB34</f>
        <v>#N/A</v>
      </c>
      <c r="AF22" s="273" t="e">
        <f>'Final Summary'!AC34</f>
        <v>#N/A</v>
      </c>
      <c r="AG22" s="273" t="e">
        <f>'Final Summary'!AD34</f>
        <v>#N/A</v>
      </c>
      <c r="AH22" s="272">
        <f>'Det Liquefaction Initiation'!O51</f>
        <v>8.1166656004397583E-2</v>
      </c>
      <c r="AI22" s="272"/>
    </row>
    <row r="23" spans="1:35" x14ac:dyDescent="0.25">
      <c r="A23" s="42" t="b">
        <v>0</v>
      </c>
      <c r="E23" s="271">
        <f>D22+E22</f>
        <v>45</v>
      </c>
      <c r="F23" s="271">
        <f ca="1">F22</f>
        <v>7.3030476983682764</v>
      </c>
      <c r="G23" s="271" t="e">
        <f>G22</f>
        <v>#N/A</v>
      </c>
      <c r="H23" s="271" t="e">
        <f ca="1">H22</f>
        <v>#N/A</v>
      </c>
      <c r="I23" s="271" t="e">
        <f ca="1">I22</f>
        <v>#N/A</v>
      </c>
      <c r="J23" s="271">
        <f ca="1">J22</f>
        <v>0.11400729285551024</v>
      </c>
      <c r="K23" s="271"/>
      <c r="L23" s="271">
        <f>L22</f>
        <v>4.144728715335928</v>
      </c>
      <c r="M23" s="271" t="e">
        <f>M22</f>
        <v>#N/A</v>
      </c>
      <c r="N23" s="271" t="e">
        <f>N22</f>
        <v>#N/A</v>
      </c>
      <c r="O23" s="271" t="e">
        <f>O22</f>
        <v>#N/A</v>
      </c>
      <c r="P23" s="271">
        <f>P22</f>
        <v>6.8970953672722005E-2</v>
      </c>
      <c r="Q23" s="42"/>
      <c r="V23" s="43"/>
      <c r="W23" s="271">
        <f>V22+W22</f>
        <v>45</v>
      </c>
      <c r="X23" s="271">
        <f ca="1">X22</f>
        <v>7.3030476983682764</v>
      </c>
      <c r="Y23" s="271" t="e">
        <f>Y22</f>
        <v>#N/A</v>
      </c>
      <c r="Z23" s="271" t="e">
        <f>Z22</f>
        <v>#N/A</v>
      </c>
      <c r="AA23" s="271" t="e">
        <f ca="1">AA22</f>
        <v>#N/A</v>
      </c>
      <c r="AB23" s="271">
        <f ca="1">AB22</f>
        <v>8.6556517762789179E-2</v>
      </c>
      <c r="AC23" s="271"/>
      <c r="AD23" s="271">
        <f>AD22</f>
        <v>4.144728715335928</v>
      </c>
      <c r="AE23" s="271" t="e">
        <f>AE22</f>
        <v>#N/A</v>
      </c>
      <c r="AF23" s="271" t="e">
        <f>AF22</f>
        <v>#N/A</v>
      </c>
      <c r="AG23" s="271" t="e">
        <f>AG22</f>
        <v>#N/A</v>
      </c>
      <c r="AH23" s="271">
        <f>AH22</f>
        <v>8.1166656004397583E-2</v>
      </c>
      <c r="AI23" s="271"/>
    </row>
    <row r="24" spans="1:35" x14ac:dyDescent="0.25">
      <c r="D24" s="272">
        <f>IF(Inputs!G22="",0,Inputs!G22)</f>
        <v>3</v>
      </c>
      <c r="E24" s="273">
        <f>E23</f>
        <v>45</v>
      </c>
      <c r="F24" s="273">
        <f ca="1">'Final Summary'!K35</f>
        <v>1.6327566637818389</v>
      </c>
      <c r="G24" s="273">
        <f>'Final Summary'!L35</f>
        <v>27.121719360351563</v>
      </c>
      <c r="H24" s="273">
        <f ca="1">'Final Summary'!M35</f>
        <v>0.3993356758905604</v>
      </c>
      <c r="I24" s="273">
        <f ca="1">'Final Summary'!N35</f>
        <v>0.19468062364165611</v>
      </c>
      <c r="J24" s="272">
        <f ca="1">'PB Liquefaction Initiation'!Q19</f>
        <v>7.774291842473656E-2</v>
      </c>
      <c r="K24" s="272"/>
      <c r="L24" s="273">
        <f>'Final Summary'!P35</f>
        <v>2.0632593460236448</v>
      </c>
      <c r="M24" s="273">
        <f>'Final Summary'!Q35</f>
        <v>48.692972152870666</v>
      </c>
      <c r="N24" s="273">
        <f>'Final Summary'!R35</f>
        <v>1.6999817010556288</v>
      </c>
      <c r="O24" s="273">
        <f>'Final Summary'!S35</f>
        <v>3.399931176180504E-2</v>
      </c>
      <c r="P24" s="272">
        <f>'PB Liquefaction Initiation'!N52</f>
        <v>5.7798207843553974E-2</v>
      </c>
      <c r="Q24" s="272"/>
      <c r="V24" s="272">
        <f>IF(Inputs!$G22="",NA(),Inputs!$G22)</f>
        <v>3</v>
      </c>
      <c r="W24" s="273">
        <f>W23</f>
        <v>45</v>
      </c>
      <c r="X24" s="273">
        <f ca="1">'Final Summary'!V35</f>
        <v>1.6327566637818389</v>
      </c>
      <c r="Y24" s="273">
        <f>'Final Summary'!W35</f>
        <v>34.336931228637695</v>
      </c>
      <c r="Z24" s="273">
        <f ca="1">'Final Summary'!X35</f>
        <v>0.73623162212844251</v>
      </c>
      <c r="AA24" s="273">
        <f ca="1">'Final Summary'!Y35</f>
        <v>8.0170301250297227E-2</v>
      </c>
      <c r="AB24" s="272">
        <f ca="1">'Det Liquefaction Initiation'!T19</f>
        <v>5.902391093603223E-2</v>
      </c>
      <c r="AC24" s="272"/>
      <c r="AD24" s="273">
        <f>'Final Summary'!AA35</f>
        <v>2.0632593460236448</v>
      </c>
      <c r="AE24" s="273">
        <f>'Final Summary'!AB35</f>
        <v>44.292057499753916</v>
      </c>
      <c r="AF24" s="273">
        <f>'Final Summary'!AC35</f>
        <v>0.90361270859979537</v>
      </c>
      <c r="AG24" s="273">
        <f>'Final Summary'!AD35</f>
        <v>7.5273734828321059E-2</v>
      </c>
      <c r="AH24" s="272">
        <f>'Det Liquefaction Initiation'!O52</f>
        <v>6.8018303414641948E-2</v>
      </c>
      <c r="AI24" s="272"/>
    </row>
    <row r="25" spans="1:35" x14ac:dyDescent="0.25">
      <c r="A25" s="56" t="s">
        <v>203</v>
      </c>
      <c r="E25" s="271">
        <f>D24+E24</f>
        <v>48</v>
      </c>
      <c r="F25" s="271">
        <f ca="1">F24</f>
        <v>1.6327566637818389</v>
      </c>
      <c r="G25" s="271">
        <f>G24</f>
        <v>27.121719360351563</v>
      </c>
      <c r="H25" s="271">
        <f ca="1">H24</f>
        <v>0.3993356758905604</v>
      </c>
      <c r="I25" s="271">
        <f ca="1">I24</f>
        <v>0.19468062364165611</v>
      </c>
      <c r="J25" s="271">
        <f ca="1">J24</f>
        <v>7.774291842473656E-2</v>
      </c>
      <c r="K25" s="271"/>
      <c r="L25" s="271">
        <f>L24</f>
        <v>2.0632593460236448</v>
      </c>
      <c r="M25" s="271">
        <f>M24</f>
        <v>48.692972152870666</v>
      </c>
      <c r="N25" s="271">
        <f>N24</f>
        <v>1.6999817010556288</v>
      </c>
      <c r="O25" s="271">
        <f>O24</f>
        <v>3.399931176180504E-2</v>
      </c>
      <c r="P25" s="271">
        <f>P24</f>
        <v>5.7798207843553974E-2</v>
      </c>
      <c r="Q25" s="42"/>
      <c r="V25" s="43"/>
      <c r="W25" s="271">
        <f>V24+W24</f>
        <v>48</v>
      </c>
      <c r="X25" s="271">
        <f ca="1">X24</f>
        <v>1.6327566637818389</v>
      </c>
      <c r="Y25" s="271">
        <f>Y24</f>
        <v>34.336931228637695</v>
      </c>
      <c r="Z25" s="271">
        <f ca="1">Z24</f>
        <v>0.73623162212844251</v>
      </c>
      <c r="AA25" s="271">
        <f ca="1">AA24</f>
        <v>8.0170301250297227E-2</v>
      </c>
      <c r="AB25" s="271">
        <f ca="1">AB24</f>
        <v>5.902391093603223E-2</v>
      </c>
      <c r="AC25" s="271"/>
      <c r="AD25" s="271">
        <f>AD24</f>
        <v>2.0632593460236448</v>
      </c>
      <c r="AE25" s="271">
        <f>AE24</f>
        <v>44.292057499753916</v>
      </c>
      <c r="AF25" s="271">
        <f>AF24</f>
        <v>0.90361270859979537</v>
      </c>
      <c r="AG25" s="271">
        <f>AG24</f>
        <v>7.5273734828321059E-2</v>
      </c>
      <c r="AH25" s="271">
        <f>AH24</f>
        <v>6.8018303414641948E-2</v>
      </c>
      <c r="AI25" s="271"/>
    </row>
    <row r="26" spans="1:35" x14ac:dyDescent="0.25">
      <c r="A26" s="42" t="s">
        <v>107</v>
      </c>
      <c r="D26" s="272">
        <f>IF(Inputs!G23="",0,Inputs!G23)</f>
        <v>7</v>
      </c>
      <c r="E26" s="273">
        <f>E25</f>
        <v>48</v>
      </c>
      <c r="F26" s="273">
        <f ca="1">'Final Summary'!K36</f>
        <v>9.6599215676559655</v>
      </c>
      <c r="G26" s="273">
        <f>'Final Summary'!L36</f>
        <v>26.560958862304688</v>
      </c>
      <c r="H26" s="273">
        <f ca="1">'Final Summary'!M36</f>
        <v>0.37845267566951402</v>
      </c>
      <c r="I26" s="273">
        <f ca="1">'Final Summary'!N36</f>
        <v>0.34818708198556969</v>
      </c>
      <c r="J26" s="272">
        <f ca="1">'PB Liquefaction Initiation'!Q20</f>
        <v>0.13177233281099929</v>
      </c>
      <c r="K26" s="272"/>
      <c r="L26" s="273">
        <f>'Final Summary'!P36</f>
        <v>10.322847584760181</v>
      </c>
      <c r="M26" s="273">
        <f>'Final Summary'!Q36</f>
        <v>48.264406886072805</v>
      </c>
      <c r="N26" s="273">
        <f>'Final Summary'!R36</f>
        <v>1.5875075349827623</v>
      </c>
      <c r="O26" s="273">
        <f>'Final Summary'!S36</f>
        <v>6.3839566880304122E-2</v>
      </c>
      <c r="P26" s="272">
        <f>'PB Liquefaction Initiation'!N53</f>
        <v>0.10134579345251878</v>
      </c>
      <c r="Q26" s="274"/>
      <c r="V26" s="272">
        <f>IF(Inputs!$G23="",NA(),Inputs!$G23)</f>
        <v>7</v>
      </c>
      <c r="W26" s="273">
        <f>W25</f>
        <v>48</v>
      </c>
      <c r="X26" s="273">
        <f ca="1">'Final Summary'!V36</f>
        <v>9.6599215676559655</v>
      </c>
      <c r="Y26" s="273">
        <f>'Final Summary'!W36</f>
        <v>34.066644668579102</v>
      </c>
      <c r="Z26" s="273">
        <f ca="1">'Final Summary'!X36</f>
        <v>0.69886017471582129</v>
      </c>
      <c r="AA26" s="273">
        <f ca="1">'Final Summary'!Y36</f>
        <v>0.14315320799813824</v>
      </c>
      <c r="AB26" s="272">
        <f ca="1">'Det Liquefaction Initiation'!T20</f>
        <v>0.1000440759527092</v>
      </c>
      <c r="AC26" s="272"/>
      <c r="AD26" s="273">
        <f>'Final Summary'!AA36</f>
        <v>10.322847584760181</v>
      </c>
      <c r="AE26" s="273">
        <f>'Final Summary'!AB36</f>
        <v>44.606581970585999</v>
      </c>
      <c r="AF26" s="273">
        <f>'Final Summary'!AC36</f>
        <v>0.89054594014891797</v>
      </c>
      <c r="AG26" s="273">
        <f>'Final Summary'!AD36</f>
        <v>0.13392474304154969</v>
      </c>
      <c r="AH26" s="272">
        <f>'Det Liquefaction Initiation'!O53</f>
        <v>0.11926613620113914</v>
      </c>
      <c r="AI26" s="272"/>
    </row>
    <row r="27" spans="1:35" x14ac:dyDescent="0.25">
      <c r="A27" s="42" t="s">
        <v>106</v>
      </c>
      <c r="E27" s="271">
        <f>D26+E26</f>
        <v>55</v>
      </c>
      <c r="F27" s="271">
        <f ca="1">F26</f>
        <v>9.6599215676559655</v>
      </c>
      <c r="G27" s="271">
        <f>G26</f>
        <v>26.560958862304688</v>
      </c>
      <c r="H27" s="271">
        <f ca="1">H26</f>
        <v>0.37845267566951402</v>
      </c>
      <c r="I27" s="271">
        <f ca="1">I26</f>
        <v>0.34818708198556969</v>
      </c>
      <c r="J27" s="271">
        <f ca="1">J26</f>
        <v>0.13177233281099929</v>
      </c>
      <c r="K27" s="271"/>
      <c r="L27" s="271">
        <f>L26</f>
        <v>10.322847584760181</v>
      </c>
      <c r="M27" s="271">
        <f>M26</f>
        <v>48.264406886072805</v>
      </c>
      <c r="N27" s="271">
        <f>N26</f>
        <v>1.5875075349827623</v>
      </c>
      <c r="O27" s="271">
        <f>O26</f>
        <v>6.3839566880304122E-2</v>
      </c>
      <c r="P27" s="271">
        <f>P26</f>
        <v>0.10134579345251878</v>
      </c>
      <c r="V27" s="43"/>
      <c r="W27" s="271">
        <f>V26+W26</f>
        <v>55</v>
      </c>
      <c r="X27" s="271">
        <f ca="1">X26</f>
        <v>9.6599215676559655</v>
      </c>
      <c r="Y27" s="271">
        <f>Y26</f>
        <v>34.066644668579102</v>
      </c>
      <c r="Z27" s="271">
        <f ca="1">Z26</f>
        <v>0.69886017471582129</v>
      </c>
      <c r="AA27" s="271">
        <f ca="1">AA26</f>
        <v>0.14315320799813824</v>
      </c>
      <c r="AB27" s="271">
        <f ca="1">AB26</f>
        <v>0.1000440759527092</v>
      </c>
      <c r="AC27" s="271"/>
      <c r="AD27" s="271">
        <f>AD26</f>
        <v>10.322847584760181</v>
      </c>
      <c r="AE27" s="271">
        <f>AE26</f>
        <v>44.606581970585999</v>
      </c>
      <c r="AF27" s="271">
        <f>AF26</f>
        <v>0.89054594014891797</v>
      </c>
      <c r="AG27" s="271">
        <f>AG26</f>
        <v>0.13392474304154969</v>
      </c>
      <c r="AH27" s="271">
        <f>AH26</f>
        <v>0.11926613620113914</v>
      </c>
      <c r="AI27" s="271"/>
    </row>
    <row r="28" spans="1:35" x14ac:dyDescent="0.25">
      <c r="D28" s="272">
        <f>IF(Inputs!G24="",0,Inputs!G24)</f>
        <v>4</v>
      </c>
      <c r="E28" s="273">
        <f>E27</f>
        <v>55</v>
      </c>
      <c r="F28" s="273">
        <f ca="1">'Final Summary'!K37</f>
        <v>2.3758590121854533</v>
      </c>
      <c r="G28" s="273">
        <f>'Final Summary'!L37</f>
        <v>26.304130554199219</v>
      </c>
      <c r="H28" s="273">
        <f ca="1">'Final Summary'!M37</f>
        <v>0.36959317274726489</v>
      </c>
      <c r="I28" s="273">
        <f ca="1">'Final Summary'!N37</f>
        <v>0.22163239568277454</v>
      </c>
      <c r="J28" s="272">
        <f ca="1">'PB Liquefaction Initiation'!Q21</f>
        <v>8.1913820303973858E-2</v>
      </c>
      <c r="K28" s="272"/>
      <c r="L28" s="273">
        <f>'Final Summary'!P37</f>
        <v>2.9720420997108414</v>
      </c>
      <c r="M28" s="273">
        <f>'Final Summary'!Q37</f>
        <v>48.128747582366231</v>
      </c>
      <c r="N28" s="273">
        <f>'Final Summary'!R37</f>
        <v>1.5283968779578039</v>
      </c>
      <c r="O28" s="273">
        <f>'Final Summary'!S37</f>
        <v>3.783207723839474E-2</v>
      </c>
      <c r="P28" s="272">
        <f>'PB Liquefaction Initiation'!N54</f>
        <v>5.7822428737821022E-2</v>
      </c>
      <c r="Q28" s="274"/>
      <c r="V28" s="272">
        <f>IF(Inputs!$G24="",NA(),Inputs!$G24)</f>
        <v>4</v>
      </c>
      <c r="W28" s="273">
        <f>W27</f>
        <v>55</v>
      </c>
      <c r="X28" s="273">
        <f ca="1">'Final Summary'!V37</f>
        <v>2.3758590121854533</v>
      </c>
      <c r="Y28" s="273">
        <f>'Final Summary'!W37</f>
        <v>33.938884735107422</v>
      </c>
      <c r="Z28" s="273">
        <f ca="1">'Final Summary'!X37</f>
        <v>0.68217702333422126</v>
      </c>
      <c r="AA28" s="273">
        <f ca="1">'Final Summary'!Y37</f>
        <v>9.1164811049488759E-2</v>
      </c>
      <c r="AB28" s="272">
        <f ca="1">'Det Liquefaction Initiation'!T21</f>
        <v>6.2190539434566962E-2</v>
      </c>
      <c r="AC28" s="272"/>
      <c r="AD28" s="273">
        <f>'Final Summary'!AA37</f>
        <v>2.9720420997108414</v>
      </c>
      <c r="AE28" s="273">
        <f>'Final Summary'!AB37</f>
        <v>44.798084490646112</v>
      </c>
      <c r="AF28" s="273">
        <f>'Final Summary'!AC37</f>
        <v>0.87797090607324668</v>
      </c>
      <c r="AG28" s="273">
        <f>'Final Summary'!AD37</f>
        <v>7.7504626482994235E-2</v>
      </c>
      <c r="AH28" s="272">
        <f>'Det Liquefaction Initiation'!O54</f>
        <v>6.8046807138142998E-2</v>
      </c>
      <c r="AI28" s="272"/>
    </row>
    <row r="29" spans="1:35" x14ac:dyDescent="0.25">
      <c r="A29" s="56" t="s">
        <v>207</v>
      </c>
      <c r="E29" s="271">
        <f>D28+E28</f>
        <v>59</v>
      </c>
      <c r="F29" s="271">
        <f ca="1">F28</f>
        <v>2.3758590121854533</v>
      </c>
      <c r="G29" s="271">
        <f>G28</f>
        <v>26.304130554199219</v>
      </c>
      <c r="H29" s="271">
        <f ca="1">H28</f>
        <v>0.36959317274726489</v>
      </c>
      <c r="I29" s="271">
        <f ca="1">I28</f>
        <v>0.22163239568277454</v>
      </c>
      <c r="J29" s="271">
        <f ca="1">J28</f>
        <v>8.1913820303973858E-2</v>
      </c>
      <c r="K29" s="271"/>
      <c r="L29" s="271">
        <f>L28</f>
        <v>2.9720420997108414</v>
      </c>
      <c r="M29" s="271">
        <f>M28</f>
        <v>48.128747582366231</v>
      </c>
      <c r="N29" s="271">
        <f>N28</f>
        <v>1.5283968779578039</v>
      </c>
      <c r="O29" s="271">
        <f>O28</f>
        <v>3.783207723839474E-2</v>
      </c>
      <c r="P29" s="271">
        <f>P28</f>
        <v>5.7822428737821022E-2</v>
      </c>
      <c r="V29" s="43"/>
      <c r="W29" s="271">
        <f>V28+W28</f>
        <v>59</v>
      </c>
      <c r="X29" s="271">
        <f ca="1">X28</f>
        <v>2.3758590121854533</v>
      </c>
      <c r="Y29" s="271">
        <f>Y28</f>
        <v>33.938884735107422</v>
      </c>
      <c r="Z29" s="271">
        <f ca="1">Z28</f>
        <v>0.68217702333422126</v>
      </c>
      <c r="AA29" s="271">
        <f ca="1">AA28</f>
        <v>9.1164811049488759E-2</v>
      </c>
      <c r="AB29" s="271">
        <f ca="1">AB28</f>
        <v>6.2190539434566962E-2</v>
      </c>
      <c r="AC29" s="271"/>
      <c r="AD29" s="271">
        <f>AD28</f>
        <v>2.9720420997108414</v>
      </c>
      <c r="AE29" s="271">
        <f>AE28</f>
        <v>44.798084490646112</v>
      </c>
      <c r="AF29" s="271">
        <f>AF28</f>
        <v>0.87797090607324668</v>
      </c>
      <c r="AG29" s="271">
        <f>AG28</f>
        <v>7.7504626482994235E-2</v>
      </c>
      <c r="AH29" s="271">
        <f>AH28</f>
        <v>6.8046807138142998E-2</v>
      </c>
      <c r="AI29" s="271"/>
    </row>
    <row r="30" spans="1:35" x14ac:dyDescent="0.25">
      <c r="A30" s="42" t="s">
        <v>208</v>
      </c>
      <c r="D30" s="272">
        <f>IF(Inputs!G25="",0,Inputs!G25)</f>
        <v>0</v>
      </c>
      <c r="E30" s="273">
        <f>E29</f>
        <v>59</v>
      </c>
      <c r="F30" s="273" t="e">
        <f>'Final Summary'!K38</f>
        <v>#N/A</v>
      </c>
      <c r="G30" s="273" t="e">
        <f>'Final Summary'!L38</f>
        <v>#N/A</v>
      </c>
      <c r="H30" s="273" t="e">
        <f>'Final Summary'!M38</f>
        <v>#N/A</v>
      </c>
      <c r="I30" s="273" t="e">
        <f>'Final Summary'!N38</f>
        <v>#N/A</v>
      </c>
      <c r="J30" s="272" t="e">
        <f>'PB Liquefaction Initiation'!Q22</f>
        <v>#N/A</v>
      </c>
      <c r="K30" s="272"/>
      <c r="L30" s="273" t="e">
        <f>'Final Summary'!P38</f>
        <v>#N/A</v>
      </c>
      <c r="M30" s="273" t="e">
        <f>'Final Summary'!Q38</f>
        <v>#N/A</v>
      </c>
      <c r="N30" s="273" t="e">
        <f>'Final Summary'!R38</f>
        <v>#N/A</v>
      </c>
      <c r="O30" s="273" t="e">
        <f>'Final Summary'!S38</f>
        <v>#N/A</v>
      </c>
      <c r="P30" s="272" t="e">
        <f>'PB Liquefaction Initiation'!N55</f>
        <v>#N/A</v>
      </c>
      <c r="Q30" s="274"/>
      <c r="V30" s="272" t="e">
        <f>IF(Inputs!$G25="",NA(),Inputs!$G25)</f>
        <v>#N/A</v>
      </c>
      <c r="W30" s="273">
        <f>W29</f>
        <v>59</v>
      </c>
      <c r="X30" s="273" t="e">
        <f>'Final Summary'!V38</f>
        <v>#N/A</v>
      </c>
      <c r="Y30" s="273" t="e">
        <f>'Final Summary'!W38</f>
        <v>#N/A</v>
      </c>
      <c r="Z30" s="273" t="e">
        <f>'Final Summary'!X38</f>
        <v>#N/A</v>
      </c>
      <c r="AA30" s="273" t="e">
        <f>'Final Summary'!Y38</f>
        <v>#N/A</v>
      </c>
      <c r="AB30" s="272" t="e">
        <f>'Det Liquefaction Initiation'!T22</f>
        <v>#N/A</v>
      </c>
      <c r="AC30" s="272"/>
      <c r="AD30" s="273" t="e">
        <f>'Final Summary'!AA38</f>
        <v>#N/A</v>
      </c>
      <c r="AE30" s="273" t="e">
        <f>'Final Summary'!AB38</f>
        <v>#N/A</v>
      </c>
      <c r="AF30" s="273" t="e">
        <f>'Final Summary'!AC38</f>
        <v>#N/A</v>
      </c>
      <c r="AG30" s="273" t="e">
        <f>'Final Summary'!AD38</f>
        <v>#N/A</v>
      </c>
      <c r="AH30" s="272" t="e">
        <f>'Det Liquefaction Initiation'!O55</f>
        <v>#N/A</v>
      </c>
      <c r="AI30" s="272"/>
    </row>
    <row r="31" spans="1:35" x14ac:dyDescent="0.25">
      <c r="A31" s="42" t="s">
        <v>209</v>
      </c>
      <c r="E31" s="271">
        <f>D30+E30</f>
        <v>59</v>
      </c>
      <c r="F31" s="271" t="e">
        <f>F30</f>
        <v>#N/A</v>
      </c>
      <c r="G31" s="271" t="e">
        <f>G30</f>
        <v>#N/A</v>
      </c>
      <c r="H31" s="271" t="e">
        <f>H30</f>
        <v>#N/A</v>
      </c>
      <c r="I31" s="271" t="e">
        <f>I30</f>
        <v>#N/A</v>
      </c>
      <c r="J31" s="271" t="e">
        <f>J30</f>
        <v>#N/A</v>
      </c>
      <c r="K31" s="271"/>
      <c r="L31" s="271" t="e">
        <f>L30</f>
        <v>#N/A</v>
      </c>
      <c r="M31" s="271" t="e">
        <f>M30</f>
        <v>#N/A</v>
      </c>
      <c r="N31" s="271" t="e">
        <f>N30</f>
        <v>#N/A</v>
      </c>
      <c r="O31" s="271" t="e">
        <f>O30</f>
        <v>#N/A</v>
      </c>
      <c r="P31" s="271" t="e">
        <f>P30</f>
        <v>#N/A</v>
      </c>
      <c r="V31" s="43"/>
      <c r="W31" s="271" t="e">
        <f>V30+W30</f>
        <v>#N/A</v>
      </c>
      <c r="X31" s="271" t="e">
        <f>X30</f>
        <v>#N/A</v>
      </c>
      <c r="Y31" s="271" t="e">
        <f>Y30</f>
        <v>#N/A</v>
      </c>
      <c r="Z31" s="271" t="e">
        <f>Z30</f>
        <v>#N/A</v>
      </c>
      <c r="AA31" s="271" t="e">
        <f>AA30</f>
        <v>#N/A</v>
      </c>
      <c r="AB31" s="271" t="e">
        <f>AB30</f>
        <v>#N/A</v>
      </c>
      <c r="AC31" s="271"/>
      <c r="AD31" s="271" t="e">
        <f>AD30</f>
        <v>#N/A</v>
      </c>
      <c r="AE31" s="271" t="e">
        <f>AE30</f>
        <v>#N/A</v>
      </c>
      <c r="AF31" s="271" t="e">
        <f>AF30</f>
        <v>#N/A</v>
      </c>
      <c r="AG31" s="271" t="e">
        <f>AG30</f>
        <v>#N/A</v>
      </c>
      <c r="AH31" s="271" t="e">
        <f>AH30</f>
        <v>#N/A</v>
      </c>
      <c r="AI31" s="271"/>
    </row>
    <row r="32" spans="1:35" x14ac:dyDescent="0.25">
      <c r="D32" s="272">
        <f>IF(Inputs!G26="",0,Inputs!G26)</f>
        <v>0</v>
      </c>
      <c r="E32" s="273">
        <f>E31</f>
        <v>59</v>
      </c>
      <c r="F32" s="273" t="e">
        <f>'Final Summary'!K39</f>
        <v>#N/A</v>
      </c>
      <c r="G32" s="273" t="e">
        <f>'Final Summary'!L39</f>
        <v>#N/A</v>
      </c>
      <c r="H32" s="273" t="e">
        <f>'Final Summary'!M39</f>
        <v>#N/A</v>
      </c>
      <c r="I32" s="273" t="e">
        <f>'Final Summary'!N39</f>
        <v>#N/A</v>
      </c>
      <c r="J32" s="272" t="e">
        <f>'PB Liquefaction Initiation'!Q23</f>
        <v>#N/A</v>
      </c>
      <c r="K32" s="272"/>
      <c r="L32" s="273" t="e">
        <f>'Final Summary'!P39</f>
        <v>#N/A</v>
      </c>
      <c r="M32" s="273" t="e">
        <f>'Final Summary'!Q39</f>
        <v>#N/A</v>
      </c>
      <c r="N32" s="273" t="e">
        <f>'Final Summary'!R39</f>
        <v>#N/A</v>
      </c>
      <c r="O32" s="273" t="e">
        <f>'Final Summary'!S39</f>
        <v>#N/A</v>
      </c>
      <c r="P32" s="272" t="e">
        <f>'PB Liquefaction Initiation'!N56</f>
        <v>#N/A</v>
      </c>
      <c r="Q32" s="274"/>
      <c r="V32" s="272" t="e">
        <f>IF(Inputs!$G26="",NA(),Inputs!$G26)</f>
        <v>#N/A</v>
      </c>
      <c r="W32" s="273" t="e">
        <f>W31</f>
        <v>#N/A</v>
      </c>
      <c r="X32" s="273" t="e">
        <f>'Final Summary'!V39</f>
        <v>#N/A</v>
      </c>
      <c r="Y32" s="273" t="e">
        <f>'Final Summary'!W39</f>
        <v>#N/A</v>
      </c>
      <c r="Z32" s="273" t="e">
        <f>'Final Summary'!X39</f>
        <v>#N/A</v>
      </c>
      <c r="AA32" s="273" t="e">
        <f>'Final Summary'!Y39</f>
        <v>#N/A</v>
      </c>
      <c r="AB32" s="272" t="e">
        <f>'Det Liquefaction Initiation'!T23</f>
        <v>#N/A</v>
      </c>
      <c r="AC32" s="272"/>
      <c r="AD32" s="273" t="e">
        <f>'Final Summary'!AA39</f>
        <v>#N/A</v>
      </c>
      <c r="AE32" s="273" t="e">
        <f>'Final Summary'!AB39</f>
        <v>#N/A</v>
      </c>
      <c r="AF32" s="273" t="e">
        <f>'Final Summary'!AC39</f>
        <v>#N/A</v>
      </c>
      <c r="AG32" s="273" t="e">
        <f>'Final Summary'!AD39</f>
        <v>#N/A</v>
      </c>
      <c r="AH32" s="272" t="e">
        <f>'Det Liquefaction Initiation'!O56</f>
        <v>#N/A</v>
      </c>
      <c r="AI32" s="272"/>
    </row>
    <row r="33" spans="1:35" x14ac:dyDescent="0.25">
      <c r="A33" s="56" t="s">
        <v>227</v>
      </c>
      <c r="E33" s="271">
        <f>D32+E32</f>
        <v>59</v>
      </c>
      <c r="F33" s="271" t="e">
        <f>F32</f>
        <v>#N/A</v>
      </c>
      <c r="G33" s="271" t="e">
        <f>G32</f>
        <v>#N/A</v>
      </c>
      <c r="H33" s="271" t="e">
        <f>H32</f>
        <v>#N/A</v>
      </c>
      <c r="I33" s="271" t="e">
        <f>I32</f>
        <v>#N/A</v>
      </c>
      <c r="J33" s="271" t="e">
        <f>J32</f>
        <v>#N/A</v>
      </c>
      <c r="K33" s="271"/>
      <c r="L33" s="271" t="e">
        <f>L32</f>
        <v>#N/A</v>
      </c>
      <c r="M33" s="271" t="e">
        <f>M32</f>
        <v>#N/A</v>
      </c>
      <c r="N33" s="271" t="e">
        <f>N32</f>
        <v>#N/A</v>
      </c>
      <c r="O33" s="271" t="e">
        <f>O32</f>
        <v>#N/A</v>
      </c>
      <c r="P33" s="271" t="e">
        <f>P32</f>
        <v>#N/A</v>
      </c>
      <c r="V33" s="43"/>
      <c r="W33" s="271" t="e">
        <f>V32+W32</f>
        <v>#N/A</v>
      </c>
      <c r="X33" s="271" t="e">
        <f>X32</f>
        <v>#N/A</v>
      </c>
      <c r="Y33" s="271" t="e">
        <f>Y32</f>
        <v>#N/A</v>
      </c>
      <c r="Z33" s="271" t="e">
        <f>Z32</f>
        <v>#N/A</v>
      </c>
      <c r="AA33" s="271" t="e">
        <f>AA32</f>
        <v>#N/A</v>
      </c>
      <c r="AB33" s="271" t="e">
        <f>AB32</f>
        <v>#N/A</v>
      </c>
      <c r="AC33" s="271"/>
      <c r="AD33" s="271" t="e">
        <f>AD32</f>
        <v>#N/A</v>
      </c>
      <c r="AE33" s="271" t="e">
        <f>AE32</f>
        <v>#N/A</v>
      </c>
      <c r="AF33" s="271" t="e">
        <f>AF32</f>
        <v>#N/A</v>
      </c>
      <c r="AG33" s="271" t="e">
        <f>AG32</f>
        <v>#N/A</v>
      </c>
      <c r="AH33" s="271" t="e">
        <f>AH32</f>
        <v>#N/A</v>
      </c>
      <c r="AI33" s="271"/>
    </row>
    <row r="34" spans="1:35" x14ac:dyDescent="0.25">
      <c r="A34" s="42" t="s">
        <v>228</v>
      </c>
      <c r="D34" s="272">
        <f>IF(Inputs!G27="",0,Inputs!G27)</f>
        <v>0</v>
      </c>
      <c r="E34" s="273">
        <f>E33</f>
        <v>59</v>
      </c>
      <c r="F34" s="273" t="e">
        <f>'Final Summary'!K40</f>
        <v>#N/A</v>
      </c>
      <c r="G34" s="273" t="e">
        <f>'Final Summary'!L40</f>
        <v>#N/A</v>
      </c>
      <c r="H34" s="273" t="e">
        <f>'Final Summary'!M40</f>
        <v>#N/A</v>
      </c>
      <c r="I34" s="273" t="e">
        <f>'Final Summary'!N40</f>
        <v>#N/A</v>
      </c>
      <c r="J34" s="272" t="e">
        <f>'PB Liquefaction Initiation'!Q24</f>
        <v>#N/A</v>
      </c>
      <c r="K34" s="272"/>
      <c r="L34" s="273" t="e">
        <f>'Final Summary'!P40</f>
        <v>#N/A</v>
      </c>
      <c r="M34" s="273" t="e">
        <f>'Final Summary'!Q40</f>
        <v>#N/A</v>
      </c>
      <c r="N34" s="273" t="e">
        <f>'Final Summary'!R40</f>
        <v>#N/A</v>
      </c>
      <c r="O34" s="273" t="e">
        <f>'Final Summary'!S40</f>
        <v>#N/A</v>
      </c>
      <c r="P34" s="272" t="e">
        <f>'PB Liquefaction Initiation'!N57</f>
        <v>#N/A</v>
      </c>
      <c r="Q34" s="274"/>
      <c r="V34" s="272" t="e">
        <f>IF(Inputs!$G27="",NA(),Inputs!$G27)</f>
        <v>#N/A</v>
      </c>
      <c r="W34" s="273" t="e">
        <f>W33</f>
        <v>#N/A</v>
      </c>
      <c r="X34" s="273" t="e">
        <f>'Final Summary'!V40</f>
        <v>#N/A</v>
      </c>
      <c r="Y34" s="273" t="e">
        <f>'Final Summary'!W40</f>
        <v>#N/A</v>
      </c>
      <c r="Z34" s="273" t="e">
        <f>'Final Summary'!X40</f>
        <v>#N/A</v>
      </c>
      <c r="AA34" s="273" t="e">
        <f>'Final Summary'!Y40</f>
        <v>#N/A</v>
      </c>
      <c r="AB34" s="272" t="e">
        <f>'Det Liquefaction Initiation'!T24</f>
        <v>#N/A</v>
      </c>
      <c r="AC34" s="272"/>
      <c r="AD34" s="273" t="e">
        <f>'Final Summary'!AA40</f>
        <v>#N/A</v>
      </c>
      <c r="AE34" s="273" t="e">
        <f>'Final Summary'!AB40</f>
        <v>#N/A</v>
      </c>
      <c r="AF34" s="273" t="e">
        <f>'Final Summary'!AC40</f>
        <v>#N/A</v>
      </c>
      <c r="AG34" s="273" t="e">
        <f>'Final Summary'!AD40</f>
        <v>#N/A</v>
      </c>
      <c r="AH34" s="272" t="e">
        <f>'Det Liquefaction Initiation'!O57</f>
        <v>#N/A</v>
      </c>
      <c r="AI34" s="272"/>
    </row>
    <row r="35" spans="1:35" x14ac:dyDescent="0.25">
      <c r="A35" s="42" t="s">
        <v>229</v>
      </c>
      <c r="E35" s="271">
        <f>D34+E34</f>
        <v>59</v>
      </c>
      <c r="F35" s="271" t="e">
        <f>F34</f>
        <v>#N/A</v>
      </c>
      <c r="G35" s="271" t="e">
        <f>G34</f>
        <v>#N/A</v>
      </c>
      <c r="H35" s="271" t="e">
        <f>H34</f>
        <v>#N/A</v>
      </c>
      <c r="I35" s="271" t="e">
        <f>I34</f>
        <v>#N/A</v>
      </c>
      <c r="J35" s="271" t="e">
        <f>J34</f>
        <v>#N/A</v>
      </c>
      <c r="K35" s="271"/>
      <c r="L35" s="271" t="e">
        <f>L34</f>
        <v>#N/A</v>
      </c>
      <c r="M35" s="271" t="e">
        <f>M34</f>
        <v>#N/A</v>
      </c>
      <c r="N35" s="271" t="e">
        <f>N34</f>
        <v>#N/A</v>
      </c>
      <c r="O35" s="271" t="e">
        <f>O34</f>
        <v>#N/A</v>
      </c>
      <c r="P35" s="271" t="e">
        <f>P34</f>
        <v>#N/A</v>
      </c>
      <c r="V35" s="43"/>
      <c r="W35" s="271" t="e">
        <f>V34+W34</f>
        <v>#N/A</v>
      </c>
      <c r="X35" s="271" t="e">
        <f>X34</f>
        <v>#N/A</v>
      </c>
      <c r="Y35" s="271" t="e">
        <f>Y34</f>
        <v>#N/A</v>
      </c>
      <c r="Z35" s="271" t="e">
        <f>Z34</f>
        <v>#N/A</v>
      </c>
      <c r="AA35" s="271" t="e">
        <f>AA34</f>
        <v>#N/A</v>
      </c>
      <c r="AB35" s="271" t="e">
        <f>AB34</f>
        <v>#N/A</v>
      </c>
      <c r="AC35" s="271"/>
      <c r="AD35" s="271" t="e">
        <f>AD34</f>
        <v>#N/A</v>
      </c>
      <c r="AE35" s="271" t="e">
        <f>AE34</f>
        <v>#N/A</v>
      </c>
      <c r="AF35" s="271" t="e">
        <f>AF34</f>
        <v>#N/A</v>
      </c>
      <c r="AG35" s="271" t="e">
        <f>AG34</f>
        <v>#N/A</v>
      </c>
      <c r="AH35" s="271" t="e">
        <f>AH34</f>
        <v>#N/A</v>
      </c>
      <c r="AI35" s="271"/>
    </row>
    <row r="36" spans="1:35" x14ac:dyDescent="0.25">
      <c r="D36" s="272">
        <f>IF(Inputs!G28="",0,Inputs!G28)</f>
        <v>0</v>
      </c>
      <c r="E36" s="273">
        <f>E35</f>
        <v>59</v>
      </c>
      <c r="F36" s="273" t="e">
        <f>'Final Summary'!K41</f>
        <v>#N/A</v>
      </c>
      <c r="G36" s="273" t="e">
        <f>'Final Summary'!L41</f>
        <v>#N/A</v>
      </c>
      <c r="H36" s="273" t="e">
        <f>'Final Summary'!M41</f>
        <v>#N/A</v>
      </c>
      <c r="I36" s="273" t="e">
        <f>'Final Summary'!N41</f>
        <v>#N/A</v>
      </c>
      <c r="J36" s="272" t="e">
        <f>'PB Liquefaction Initiation'!Q25</f>
        <v>#N/A</v>
      </c>
      <c r="K36" s="272"/>
      <c r="L36" s="273" t="e">
        <f>'Final Summary'!P41</f>
        <v>#N/A</v>
      </c>
      <c r="M36" s="273" t="e">
        <f>'Final Summary'!Q41</f>
        <v>#N/A</v>
      </c>
      <c r="N36" s="273" t="e">
        <f>'Final Summary'!R41</f>
        <v>#N/A</v>
      </c>
      <c r="O36" s="273" t="e">
        <f>'Final Summary'!S41</f>
        <v>#N/A</v>
      </c>
      <c r="P36" s="272" t="e">
        <f>'PB Liquefaction Initiation'!N58</f>
        <v>#N/A</v>
      </c>
      <c r="Q36" s="274"/>
      <c r="V36" s="272" t="e">
        <f>IF(Inputs!$G28="",NA(),Inputs!$G28)</f>
        <v>#N/A</v>
      </c>
      <c r="W36" s="273" t="e">
        <f>W35</f>
        <v>#N/A</v>
      </c>
      <c r="X36" s="273" t="e">
        <f>'Final Summary'!V41</f>
        <v>#N/A</v>
      </c>
      <c r="Y36" s="273" t="e">
        <f>'Final Summary'!W41</f>
        <v>#N/A</v>
      </c>
      <c r="Z36" s="273" t="e">
        <f>'Final Summary'!X41</f>
        <v>#N/A</v>
      </c>
      <c r="AA36" s="273" t="e">
        <f>'Final Summary'!Y41</f>
        <v>#N/A</v>
      </c>
      <c r="AB36" s="272" t="e">
        <f>'Det Liquefaction Initiation'!T25</f>
        <v>#N/A</v>
      </c>
      <c r="AC36" s="272"/>
      <c r="AD36" s="273" t="e">
        <f>'Final Summary'!AA41</f>
        <v>#N/A</v>
      </c>
      <c r="AE36" s="273" t="e">
        <f>'Final Summary'!AB41</f>
        <v>#N/A</v>
      </c>
      <c r="AF36" s="273" t="e">
        <f>'Final Summary'!AC41</f>
        <v>#N/A</v>
      </c>
      <c r="AG36" s="273" t="e">
        <f>'Final Summary'!AD41</f>
        <v>#N/A</v>
      </c>
      <c r="AH36" s="272" t="e">
        <f>'Det Liquefaction Initiation'!O58</f>
        <v>#N/A</v>
      </c>
      <c r="AI36" s="272"/>
    </row>
    <row r="37" spans="1:35" x14ac:dyDescent="0.25">
      <c r="A37" s="419" t="s">
        <v>315</v>
      </c>
      <c r="E37" s="271">
        <f>D36+E36</f>
        <v>59</v>
      </c>
      <c r="F37" s="271" t="e">
        <f>F36</f>
        <v>#N/A</v>
      </c>
      <c r="G37" s="271" t="e">
        <f>G36</f>
        <v>#N/A</v>
      </c>
      <c r="H37" s="271" t="e">
        <f>H36</f>
        <v>#N/A</v>
      </c>
      <c r="I37" s="271" t="e">
        <f>I36</f>
        <v>#N/A</v>
      </c>
      <c r="J37" s="271" t="e">
        <f>J36</f>
        <v>#N/A</v>
      </c>
      <c r="K37" s="271"/>
      <c r="L37" s="271" t="e">
        <f>L36</f>
        <v>#N/A</v>
      </c>
      <c r="M37" s="271" t="e">
        <f>M36</f>
        <v>#N/A</v>
      </c>
      <c r="N37" s="271" t="e">
        <f>N36</f>
        <v>#N/A</v>
      </c>
      <c r="O37" s="271" t="e">
        <f>O36</f>
        <v>#N/A</v>
      </c>
      <c r="P37" s="271" t="e">
        <f>P36</f>
        <v>#N/A</v>
      </c>
      <c r="V37" s="43"/>
      <c r="W37" s="271" t="e">
        <f>V36+W36</f>
        <v>#N/A</v>
      </c>
      <c r="X37" s="271" t="e">
        <f>X36</f>
        <v>#N/A</v>
      </c>
      <c r="Y37" s="271" t="e">
        <f>Y36</f>
        <v>#N/A</v>
      </c>
      <c r="Z37" s="271" t="e">
        <f>Z36</f>
        <v>#N/A</v>
      </c>
      <c r="AA37" s="271" t="e">
        <f>AA36</f>
        <v>#N/A</v>
      </c>
      <c r="AB37" s="271" t="e">
        <f>AB36</f>
        <v>#N/A</v>
      </c>
      <c r="AC37" s="271"/>
      <c r="AD37" s="271" t="e">
        <f>AD36</f>
        <v>#N/A</v>
      </c>
      <c r="AE37" s="271" t="e">
        <f>AE36</f>
        <v>#N/A</v>
      </c>
      <c r="AF37" s="271" t="e">
        <f>AF36</f>
        <v>#N/A</v>
      </c>
      <c r="AG37" s="271" t="e">
        <f>AG36</f>
        <v>#N/A</v>
      </c>
      <c r="AH37" s="271" t="e">
        <f>AH36</f>
        <v>#N/A</v>
      </c>
      <c r="AI37" s="271"/>
    </row>
    <row r="38" spans="1:35" x14ac:dyDescent="0.25">
      <c r="A38" s="42" t="str">
        <f>IF(units=1,"Cumulative Settlement [cm]","Cumulative Settlement [in]")</f>
        <v>Cumulative Settlement [in]</v>
      </c>
      <c r="D38" s="272">
        <f>IF(Inputs!G29="",0,Inputs!G29)</f>
        <v>0</v>
      </c>
      <c r="E38" s="273">
        <f>E37</f>
        <v>59</v>
      </c>
      <c r="F38" s="273" t="e">
        <f>'Final Summary'!K42</f>
        <v>#N/A</v>
      </c>
      <c r="G38" s="273" t="e">
        <f>'Final Summary'!L42</f>
        <v>#N/A</v>
      </c>
      <c r="H38" s="273" t="e">
        <f>'Final Summary'!M42</f>
        <v>#N/A</v>
      </c>
      <c r="I38" s="273" t="e">
        <f>'Final Summary'!N42</f>
        <v>#N/A</v>
      </c>
      <c r="J38" s="272" t="e">
        <f>'PB Liquefaction Initiation'!Q26</f>
        <v>#N/A</v>
      </c>
      <c r="K38" s="272"/>
      <c r="L38" s="273" t="e">
        <f>'Final Summary'!P42</f>
        <v>#N/A</v>
      </c>
      <c r="M38" s="273" t="e">
        <f>'Final Summary'!Q42</f>
        <v>#N/A</v>
      </c>
      <c r="N38" s="273" t="e">
        <f>'Final Summary'!R42</f>
        <v>#N/A</v>
      </c>
      <c r="O38" s="273" t="e">
        <f>'Final Summary'!S42</f>
        <v>#N/A</v>
      </c>
      <c r="P38" s="272" t="e">
        <f>'PB Liquefaction Initiation'!N59</f>
        <v>#N/A</v>
      </c>
      <c r="Q38" s="275"/>
      <c r="V38" s="272" t="e">
        <f>IF(Inputs!$G29="",NA(),Inputs!$G29)</f>
        <v>#N/A</v>
      </c>
      <c r="W38" s="273" t="e">
        <f>W37</f>
        <v>#N/A</v>
      </c>
      <c r="X38" s="273" t="e">
        <f>'Final Summary'!V42</f>
        <v>#N/A</v>
      </c>
      <c r="Y38" s="273" t="e">
        <f>'Final Summary'!W42</f>
        <v>#N/A</v>
      </c>
      <c r="Z38" s="273" t="e">
        <f>'Final Summary'!X42</f>
        <v>#N/A</v>
      </c>
      <c r="AA38" s="273" t="e">
        <f>'Final Summary'!Y42</f>
        <v>#N/A</v>
      </c>
      <c r="AB38" s="272" t="e">
        <f>'Det Liquefaction Initiation'!T26</f>
        <v>#N/A</v>
      </c>
      <c r="AC38" s="272"/>
      <c r="AD38" s="273" t="e">
        <f>'Final Summary'!AA42</f>
        <v>#N/A</v>
      </c>
      <c r="AE38" s="273" t="e">
        <f>'Final Summary'!AB42</f>
        <v>#N/A</v>
      </c>
      <c r="AF38" s="273" t="e">
        <f>'Final Summary'!AC42</f>
        <v>#N/A</v>
      </c>
      <c r="AG38" s="273" t="e">
        <f>'Final Summary'!AD42</f>
        <v>#N/A</v>
      </c>
      <c r="AH38" s="272" t="e">
        <f>'Det Liquefaction Initiation'!O59</f>
        <v>#N/A</v>
      </c>
      <c r="AI38" s="272"/>
    </row>
    <row r="39" spans="1:35" x14ac:dyDescent="0.25">
      <c r="E39" s="271">
        <f>D38+E38</f>
        <v>59</v>
      </c>
      <c r="F39" s="271" t="e">
        <f>F38</f>
        <v>#N/A</v>
      </c>
      <c r="G39" s="271" t="e">
        <f>G38</f>
        <v>#N/A</v>
      </c>
      <c r="H39" s="271" t="e">
        <f>H38</f>
        <v>#N/A</v>
      </c>
      <c r="I39" s="271" t="e">
        <f>I38</f>
        <v>#N/A</v>
      </c>
      <c r="J39" s="271" t="e">
        <f>J38</f>
        <v>#N/A</v>
      </c>
      <c r="K39" s="271"/>
      <c r="L39" s="271" t="e">
        <f>L38</f>
        <v>#N/A</v>
      </c>
      <c r="M39" s="271" t="e">
        <f>M38</f>
        <v>#N/A</v>
      </c>
      <c r="N39" s="271" t="e">
        <f>N38</f>
        <v>#N/A</v>
      </c>
      <c r="O39" s="271" t="e">
        <f>O38</f>
        <v>#N/A</v>
      </c>
      <c r="P39" s="271" t="e">
        <f>P38</f>
        <v>#N/A</v>
      </c>
      <c r="Q39"/>
      <c r="V39" s="43"/>
      <c r="W39" s="271" t="e">
        <f>V38+W38</f>
        <v>#N/A</v>
      </c>
      <c r="X39" s="271" t="e">
        <f>X38</f>
        <v>#N/A</v>
      </c>
      <c r="Y39" s="271" t="e">
        <f>Y38</f>
        <v>#N/A</v>
      </c>
      <c r="Z39" s="271" t="e">
        <f>Z38</f>
        <v>#N/A</v>
      </c>
      <c r="AA39" s="271" t="e">
        <f>AA38</f>
        <v>#N/A</v>
      </c>
      <c r="AB39" s="271" t="e">
        <f>AB38</f>
        <v>#N/A</v>
      </c>
      <c r="AC39" s="271"/>
      <c r="AD39" s="271" t="e">
        <f>AD38</f>
        <v>#N/A</v>
      </c>
      <c r="AE39" s="271" t="e">
        <f>AE38</f>
        <v>#N/A</v>
      </c>
      <c r="AF39" s="271" t="e">
        <f>AF38</f>
        <v>#N/A</v>
      </c>
      <c r="AG39" s="271" t="e">
        <f>AG38</f>
        <v>#N/A</v>
      </c>
      <c r="AH39" s="271" t="e">
        <f>AH38</f>
        <v>#N/A</v>
      </c>
      <c r="AI39" s="271"/>
    </row>
    <row r="40" spans="1:35" x14ac:dyDescent="0.25">
      <c r="A40" s="56" t="s">
        <v>316</v>
      </c>
      <c r="D40" s="272">
        <f>IF(Inputs!G30="",0,Inputs!G30)</f>
        <v>0</v>
      </c>
      <c r="E40" s="273">
        <f>E39</f>
        <v>59</v>
      </c>
      <c r="F40" s="273" t="e">
        <f>'Final Summary'!K43</f>
        <v>#N/A</v>
      </c>
      <c r="G40" s="273" t="e">
        <f>'Final Summary'!L43</f>
        <v>#N/A</v>
      </c>
      <c r="H40" s="273" t="e">
        <f>'Final Summary'!M43</f>
        <v>#N/A</v>
      </c>
      <c r="I40" s="273" t="e">
        <f>'Final Summary'!N43</f>
        <v>#N/A</v>
      </c>
      <c r="J40" s="272" t="e">
        <f>'PB Liquefaction Initiation'!Q27</f>
        <v>#N/A</v>
      </c>
      <c r="K40" s="272"/>
      <c r="L40" s="273" t="e">
        <f>'Final Summary'!P43</f>
        <v>#N/A</v>
      </c>
      <c r="M40" s="273" t="e">
        <f>'Final Summary'!Q43</f>
        <v>#N/A</v>
      </c>
      <c r="N40" s="273" t="e">
        <f>'Final Summary'!R43</f>
        <v>#N/A</v>
      </c>
      <c r="O40" s="273" t="e">
        <f>'Final Summary'!S43</f>
        <v>#N/A</v>
      </c>
      <c r="P40" s="272" t="e">
        <f>'PB Liquefaction Initiation'!N60</f>
        <v>#N/A</v>
      </c>
      <c r="Q40" s="275"/>
      <c r="V40" s="272" t="e">
        <f>IF(Inputs!$G30="",NA(),Inputs!$G30)</f>
        <v>#N/A</v>
      </c>
      <c r="W40" s="273" t="e">
        <f>W39</f>
        <v>#N/A</v>
      </c>
      <c r="X40" s="273" t="e">
        <f>'Final Summary'!V43</f>
        <v>#N/A</v>
      </c>
      <c r="Y40" s="273" t="e">
        <f>'Final Summary'!W43</f>
        <v>#N/A</v>
      </c>
      <c r="Z40" s="273" t="e">
        <f>'Final Summary'!X43</f>
        <v>#N/A</v>
      </c>
      <c r="AA40" s="273" t="e">
        <f>'Final Summary'!Y43</f>
        <v>#N/A</v>
      </c>
      <c r="AB40" s="272" t="e">
        <f>'Det Liquefaction Initiation'!T27</f>
        <v>#N/A</v>
      </c>
      <c r="AC40" s="272"/>
      <c r="AD40" s="273" t="e">
        <f>'Final Summary'!AA43</f>
        <v>#N/A</v>
      </c>
      <c r="AE40" s="273" t="e">
        <f>'Final Summary'!AB43</f>
        <v>#N/A</v>
      </c>
      <c r="AF40" s="273" t="e">
        <f>'Final Summary'!AC43</f>
        <v>#N/A</v>
      </c>
      <c r="AG40" s="273" t="e">
        <f>'Final Summary'!AD43</f>
        <v>#N/A</v>
      </c>
      <c r="AH40" s="272" t="e">
        <f>'Det Liquefaction Initiation'!O60</f>
        <v>#N/A</v>
      </c>
      <c r="AI40" s="272"/>
    </row>
    <row r="41" spans="1:35" x14ac:dyDescent="0.25">
      <c r="A41" s="42" t="str">
        <f>IF(units=1,"Depth [m]","Depth [ft]")</f>
        <v>Depth [ft]</v>
      </c>
      <c r="E41" s="271">
        <f>D40+E40</f>
        <v>59</v>
      </c>
      <c r="F41" s="271" t="e">
        <f>F40</f>
        <v>#N/A</v>
      </c>
      <c r="G41" s="271" t="e">
        <f>G40</f>
        <v>#N/A</v>
      </c>
      <c r="H41" s="271" t="e">
        <f>H40</f>
        <v>#N/A</v>
      </c>
      <c r="I41" s="271" t="e">
        <f>I40</f>
        <v>#N/A</v>
      </c>
      <c r="J41" s="271" t="e">
        <f>J40</f>
        <v>#N/A</v>
      </c>
      <c r="K41" s="271"/>
      <c r="L41" s="271" t="e">
        <f>L40</f>
        <v>#N/A</v>
      </c>
      <c r="M41" s="271" t="e">
        <f>M40</f>
        <v>#N/A</v>
      </c>
      <c r="N41" s="271" t="e">
        <f>N40</f>
        <v>#N/A</v>
      </c>
      <c r="O41" s="271" t="e">
        <f>O40</f>
        <v>#N/A</v>
      </c>
      <c r="P41" s="271" t="e">
        <f>P40</f>
        <v>#N/A</v>
      </c>
      <c r="Q41"/>
      <c r="V41" s="43"/>
      <c r="W41" s="271" t="e">
        <f>V40+W40</f>
        <v>#N/A</v>
      </c>
      <c r="X41" s="271" t="e">
        <f>X40</f>
        <v>#N/A</v>
      </c>
      <c r="Y41" s="271" t="e">
        <f>Y40</f>
        <v>#N/A</v>
      </c>
      <c r="Z41" s="271" t="e">
        <f>Z40</f>
        <v>#N/A</v>
      </c>
      <c r="AA41" s="271" t="e">
        <f>AA40</f>
        <v>#N/A</v>
      </c>
      <c r="AB41" s="271" t="e">
        <f>AB40</f>
        <v>#N/A</v>
      </c>
      <c r="AC41" s="271"/>
      <c r="AD41" s="271" t="e">
        <f>AD40</f>
        <v>#N/A</v>
      </c>
      <c r="AE41" s="271" t="e">
        <f>AE40</f>
        <v>#N/A</v>
      </c>
      <c r="AF41" s="271" t="e">
        <f>AF40</f>
        <v>#N/A</v>
      </c>
      <c r="AG41" s="271" t="e">
        <f>AG40</f>
        <v>#N/A</v>
      </c>
      <c r="AH41" s="271" t="e">
        <f>AH40</f>
        <v>#N/A</v>
      </c>
      <c r="AI41" s="271"/>
    </row>
    <row r="42" spans="1:35" x14ac:dyDescent="0.25">
      <c r="D42" s="272">
        <f>IF(Inputs!G31="",0,Inputs!G31)</f>
        <v>0</v>
      </c>
      <c r="E42" s="273">
        <f>E41</f>
        <v>59</v>
      </c>
      <c r="F42" s="273" t="e">
        <f>'Final Summary'!K44</f>
        <v>#N/A</v>
      </c>
      <c r="G42" s="273" t="e">
        <f>'Final Summary'!L44</f>
        <v>#N/A</v>
      </c>
      <c r="H42" s="273" t="e">
        <f>'Final Summary'!M44</f>
        <v>#N/A</v>
      </c>
      <c r="I42" s="273" t="e">
        <f>'Final Summary'!N44</f>
        <v>#N/A</v>
      </c>
      <c r="J42" s="272" t="e">
        <f>'PB Liquefaction Initiation'!Q28</f>
        <v>#N/A</v>
      </c>
      <c r="K42" s="272"/>
      <c r="L42" s="273" t="e">
        <f>'Final Summary'!P44</f>
        <v>#N/A</v>
      </c>
      <c r="M42" s="273" t="e">
        <f>'Final Summary'!Q44</f>
        <v>#N/A</v>
      </c>
      <c r="N42" s="273" t="e">
        <f>'Final Summary'!R44</f>
        <v>#N/A</v>
      </c>
      <c r="O42" s="273" t="e">
        <f>'Final Summary'!S44</f>
        <v>#N/A</v>
      </c>
      <c r="P42" s="272" t="e">
        <f>'PB Liquefaction Initiation'!N61</f>
        <v>#N/A</v>
      </c>
      <c r="Q42" s="275"/>
      <c r="V42" s="272" t="e">
        <f>IF(Inputs!$G31="",NA(),Inputs!$G31)</f>
        <v>#N/A</v>
      </c>
      <c r="W42" s="273" t="e">
        <f>W41</f>
        <v>#N/A</v>
      </c>
      <c r="X42" s="273" t="e">
        <f>'Final Summary'!V44</f>
        <v>#N/A</v>
      </c>
      <c r="Y42" s="273" t="e">
        <f>'Final Summary'!W44</f>
        <v>#N/A</v>
      </c>
      <c r="Z42" s="273" t="e">
        <f>'Final Summary'!X44</f>
        <v>#N/A</v>
      </c>
      <c r="AA42" s="273" t="e">
        <f>'Final Summary'!Y44</f>
        <v>#N/A</v>
      </c>
      <c r="AB42" s="272" t="e">
        <f>'Det Liquefaction Initiation'!T28</f>
        <v>#N/A</v>
      </c>
      <c r="AC42" s="272"/>
      <c r="AD42" s="273" t="e">
        <f>'Final Summary'!AA44</f>
        <v>#N/A</v>
      </c>
      <c r="AE42" s="273" t="e">
        <f>'Final Summary'!AB44</f>
        <v>#N/A</v>
      </c>
      <c r="AF42" s="273" t="e">
        <f>'Final Summary'!AC44</f>
        <v>#N/A</v>
      </c>
      <c r="AG42" s="273" t="e">
        <f>'Final Summary'!AD44</f>
        <v>#N/A</v>
      </c>
      <c r="AH42" s="272" t="e">
        <f>'Det Liquefaction Initiation'!O61</f>
        <v>#N/A</v>
      </c>
      <c r="AI42" s="272"/>
    </row>
    <row r="43" spans="1:35" x14ac:dyDescent="0.25">
      <c r="A43" s="56" t="s">
        <v>319</v>
      </c>
      <c r="E43" s="271">
        <f>D42+E42</f>
        <v>59</v>
      </c>
      <c r="F43" s="271" t="e">
        <f>F42</f>
        <v>#N/A</v>
      </c>
      <c r="G43" s="271" t="e">
        <f>G42</f>
        <v>#N/A</v>
      </c>
      <c r="H43" s="271" t="e">
        <f>H42</f>
        <v>#N/A</v>
      </c>
      <c r="I43" s="271" t="e">
        <f>I42</f>
        <v>#N/A</v>
      </c>
      <c r="J43" s="271" t="e">
        <f>J42</f>
        <v>#N/A</v>
      </c>
      <c r="K43" s="271"/>
      <c r="L43" s="271" t="e">
        <f>L42</f>
        <v>#N/A</v>
      </c>
      <c r="M43" s="271" t="e">
        <f>M42</f>
        <v>#N/A</v>
      </c>
      <c r="N43" s="271" t="e">
        <f>N42</f>
        <v>#N/A</v>
      </c>
      <c r="O43" s="271" t="e">
        <f>O42</f>
        <v>#N/A</v>
      </c>
      <c r="P43" s="271" t="e">
        <f>P42</f>
        <v>#N/A</v>
      </c>
      <c r="Q43"/>
      <c r="V43" s="43"/>
      <c r="W43" s="271" t="e">
        <f>V42+W42</f>
        <v>#N/A</v>
      </c>
      <c r="X43" s="271" t="e">
        <f>X42</f>
        <v>#N/A</v>
      </c>
      <c r="Y43" s="271" t="e">
        <f>Y42</f>
        <v>#N/A</v>
      </c>
      <c r="Z43" s="271" t="e">
        <f>Z42</f>
        <v>#N/A</v>
      </c>
      <c r="AA43" s="271" t="e">
        <f>AA42</f>
        <v>#N/A</v>
      </c>
      <c r="AB43" s="271" t="e">
        <f>AB42</f>
        <v>#N/A</v>
      </c>
      <c r="AC43" s="271"/>
      <c r="AD43" s="271" t="e">
        <f>AD42</f>
        <v>#N/A</v>
      </c>
      <c r="AE43" s="271" t="e">
        <f>AE42</f>
        <v>#N/A</v>
      </c>
      <c r="AF43" s="271" t="e">
        <f>AF42</f>
        <v>#N/A</v>
      </c>
      <c r="AG43" s="271" t="e">
        <f>AG42</f>
        <v>#N/A</v>
      </c>
      <c r="AH43" s="271" t="e">
        <f>AH42</f>
        <v>#N/A</v>
      </c>
      <c r="AI43" s="271"/>
    </row>
    <row r="44" spans="1:35" ht="16.5" x14ac:dyDescent="0.3">
      <c r="A44" s="42" t="s">
        <v>320</v>
      </c>
      <c r="D44" s="272">
        <f>IF(Inputs!G32="",0,Inputs!G32)</f>
        <v>0</v>
      </c>
      <c r="E44" s="273">
        <f>E43</f>
        <v>59</v>
      </c>
      <c r="F44" s="273" t="e">
        <f>'Final Summary'!K45</f>
        <v>#N/A</v>
      </c>
      <c r="G44" s="273" t="e">
        <f>'Final Summary'!L45</f>
        <v>#N/A</v>
      </c>
      <c r="H44" s="273" t="e">
        <f>'Final Summary'!M45</f>
        <v>#N/A</v>
      </c>
      <c r="I44" s="273" t="e">
        <f>'Final Summary'!N45</f>
        <v>#N/A</v>
      </c>
      <c r="J44" s="272" t="e">
        <f>'PB Liquefaction Initiation'!Q29</f>
        <v>#N/A</v>
      </c>
      <c r="K44" s="272"/>
      <c r="L44" s="273" t="e">
        <f>'Final Summary'!P45</f>
        <v>#N/A</v>
      </c>
      <c r="M44" s="273" t="e">
        <f>'Final Summary'!Q45</f>
        <v>#N/A</v>
      </c>
      <c r="N44" s="273" t="e">
        <f>'Final Summary'!R45</f>
        <v>#N/A</v>
      </c>
      <c r="O44" s="273" t="e">
        <f>'Final Summary'!S45</f>
        <v>#N/A</v>
      </c>
      <c r="P44" s="272" t="e">
        <f>'PB Liquefaction Initiation'!N62</f>
        <v>#N/A</v>
      </c>
      <c r="Q44" s="275"/>
      <c r="V44" s="272" t="e">
        <f>IF(Inputs!$G32="",NA(),Inputs!$G32)</f>
        <v>#N/A</v>
      </c>
      <c r="W44" s="273" t="e">
        <f>W43</f>
        <v>#N/A</v>
      </c>
      <c r="X44" s="273" t="e">
        <f>'Final Summary'!V45</f>
        <v>#N/A</v>
      </c>
      <c r="Y44" s="273" t="e">
        <f>'Final Summary'!W45</f>
        <v>#N/A</v>
      </c>
      <c r="Z44" s="273" t="e">
        <f>'Final Summary'!X45</f>
        <v>#N/A</v>
      </c>
      <c r="AA44" s="273" t="e">
        <f>'Final Summary'!Y45</f>
        <v>#N/A</v>
      </c>
      <c r="AB44" s="272" t="e">
        <f>'Det Liquefaction Initiation'!T29</f>
        <v>#N/A</v>
      </c>
      <c r="AC44" s="272"/>
      <c r="AD44" s="273" t="e">
        <f>'Final Summary'!AA45</f>
        <v>#N/A</v>
      </c>
      <c r="AE44" s="273" t="e">
        <f>'Final Summary'!AB45</f>
        <v>#N/A</v>
      </c>
      <c r="AF44" s="273" t="e">
        <f>'Final Summary'!AC45</f>
        <v>#N/A</v>
      </c>
      <c r="AG44" s="273" t="e">
        <f>'Final Summary'!AD45</f>
        <v>#N/A</v>
      </c>
      <c r="AH44" s="272" t="e">
        <f>'Det Liquefaction Initiation'!O62</f>
        <v>#N/A</v>
      </c>
      <c r="AI44" s="272"/>
    </row>
    <row r="45" spans="1:35" ht="16.5" x14ac:dyDescent="0.3">
      <c r="A45" s="42" t="s">
        <v>321</v>
      </c>
      <c r="D45"/>
      <c r="E45" s="271">
        <f>D44+E44</f>
        <v>59</v>
      </c>
      <c r="F45" s="271" t="e">
        <f>F44</f>
        <v>#N/A</v>
      </c>
      <c r="G45" s="271" t="e">
        <f>G44</f>
        <v>#N/A</v>
      </c>
      <c r="H45" s="271" t="e">
        <f>H44</f>
        <v>#N/A</v>
      </c>
      <c r="I45" s="271" t="e">
        <f>I44</f>
        <v>#N/A</v>
      </c>
      <c r="J45" s="271" t="e">
        <f>J44</f>
        <v>#N/A</v>
      </c>
      <c r="K45" s="271"/>
      <c r="L45" s="271" t="e">
        <f>L44</f>
        <v>#N/A</v>
      </c>
      <c r="M45" s="271" t="e">
        <f>M44</f>
        <v>#N/A</v>
      </c>
      <c r="N45" s="271" t="e">
        <f>N44</f>
        <v>#N/A</v>
      </c>
      <c r="O45" s="271" t="e">
        <f>O44</f>
        <v>#N/A</v>
      </c>
      <c r="P45" s="271" t="e">
        <f>P44</f>
        <v>#N/A</v>
      </c>
      <c r="Q45"/>
      <c r="V45" s="43"/>
      <c r="W45" s="271" t="e">
        <f>V44+W44</f>
        <v>#N/A</v>
      </c>
      <c r="X45" s="271" t="e">
        <f>X44</f>
        <v>#N/A</v>
      </c>
      <c r="Y45" s="271" t="e">
        <f>Y44</f>
        <v>#N/A</v>
      </c>
      <c r="Z45" s="271" t="e">
        <f>Z44</f>
        <v>#N/A</v>
      </c>
      <c r="AA45" s="271" t="e">
        <f>AA44</f>
        <v>#N/A</v>
      </c>
      <c r="AB45" s="271" t="e">
        <f>AB44</f>
        <v>#N/A</v>
      </c>
      <c r="AC45" s="271"/>
      <c r="AD45" s="271" t="e">
        <f>AD44</f>
        <v>#N/A</v>
      </c>
      <c r="AE45" s="271" t="e">
        <f>AE44</f>
        <v>#N/A</v>
      </c>
      <c r="AF45" s="271" t="e">
        <f>AF44</f>
        <v>#N/A</v>
      </c>
      <c r="AG45" s="271" t="e">
        <f>AG44</f>
        <v>#N/A</v>
      </c>
      <c r="AH45" s="271" t="e">
        <f>AH44</f>
        <v>#N/A</v>
      </c>
      <c r="AI45" s="271"/>
    </row>
    <row r="46" spans="1:35" x14ac:dyDescent="0.25">
      <c r="D46"/>
      <c r="E46"/>
      <c r="F46"/>
      <c r="G46"/>
      <c r="H46"/>
      <c r="I46"/>
      <c r="J46"/>
      <c r="K46"/>
      <c r="L46"/>
      <c r="M46"/>
      <c r="N46"/>
      <c r="O46"/>
      <c r="P46"/>
      <c r="Q46"/>
    </row>
    <row r="47" spans="1:35" x14ac:dyDescent="0.25">
      <c r="A47" s="56" t="s">
        <v>382</v>
      </c>
      <c r="D47"/>
      <c r="E47"/>
      <c r="F47"/>
      <c r="G47"/>
      <c r="H47"/>
      <c r="I47"/>
      <c r="J47"/>
      <c r="K47"/>
      <c r="L47"/>
      <c r="M47"/>
      <c r="N47"/>
      <c r="O47"/>
      <c r="P47"/>
      <c r="Q47"/>
    </row>
    <row r="48" spans="1:35" x14ac:dyDescent="0.25">
      <c r="A48" s="42">
        <v>2012</v>
      </c>
    </row>
    <row r="49" spans="1:1" x14ac:dyDescent="0.25">
      <c r="A49" s="42">
        <v>2014</v>
      </c>
    </row>
    <row r="51" spans="1:1" x14ac:dyDescent="0.25">
      <c r="A51" s="56" t="s">
        <v>173</v>
      </c>
    </row>
    <row r="52" spans="1:1" x14ac:dyDescent="0.25">
      <c r="A52" s="42">
        <v>475</v>
      </c>
    </row>
    <row r="53" spans="1:1" x14ac:dyDescent="0.25">
      <c r="A53" s="42">
        <v>1033</v>
      </c>
    </row>
    <row r="54" spans="1:1" x14ac:dyDescent="0.25">
      <c r="A54" s="42">
        <v>2475</v>
      </c>
    </row>
    <row r="56" spans="1:1" x14ac:dyDescent="0.25">
      <c r="A56" s="56" t="s">
        <v>225</v>
      </c>
    </row>
    <row r="57" spans="1:1" x14ac:dyDescent="0.25">
      <c r="A57" s="525" t="s">
        <v>450</v>
      </c>
    </row>
    <row r="58" spans="1:1" x14ac:dyDescent="0.25">
      <c r="A58" s="525" t="s">
        <v>451</v>
      </c>
    </row>
    <row r="59" spans="1:1" x14ac:dyDescent="0.25">
      <c r="A59" s="525" t="s">
        <v>452</v>
      </c>
    </row>
    <row r="60" spans="1:1" x14ac:dyDescent="0.25">
      <c r="A60" s="42" t="s">
        <v>453</v>
      </c>
    </row>
    <row r="61" spans="1:1" x14ac:dyDescent="0.25">
      <c r="A61" s="42" t="s">
        <v>448</v>
      </c>
    </row>
  </sheetData>
  <sheetProtection password="C5B9" sheet="1" objects="1" scenarios="1"/>
  <mergeCells count="6">
    <mergeCell ref="AD4:AI4"/>
    <mergeCell ref="D4:D5"/>
    <mergeCell ref="F4:K4"/>
    <mergeCell ref="L4:Q4"/>
    <mergeCell ref="V4:V5"/>
    <mergeCell ref="X4:AC4"/>
  </mergeCells>
  <pageMargins left="0.7" right="0.7" top="0.75" bottom="0.75" header="0.3" footer="0.3"/>
  <pageSetup orientation="portrait" horizontalDpi="4294967293" verticalDpi="12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dimension ref="A1:AE71"/>
  <sheetViews>
    <sheetView topLeftCell="A13" workbookViewId="0"/>
  </sheetViews>
  <sheetFormatPr defaultColWidth="9" defaultRowHeight="15.75" x14ac:dyDescent="0.25"/>
  <cols>
    <col min="1" max="1" width="10.125" style="167" bestFit="1" customWidth="1"/>
    <col min="2" max="2" width="9.875" style="167" customWidth="1"/>
    <col min="3" max="3" width="10.75" style="167" customWidth="1"/>
    <col min="4" max="4" width="12.875" style="167" customWidth="1"/>
    <col min="5" max="5" width="11.375" style="167" customWidth="1"/>
    <col min="6" max="6" width="10.75" style="167" customWidth="1"/>
    <col min="7" max="7" width="11.375" style="167" customWidth="1"/>
    <col min="8" max="8" width="7.5" style="167" bestFit="1" customWidth="1"/>
    <col min="9" max="9" width="8" style="167" customWidth="1"/>
    <col min="10" max="10" width="9.875" style="167" customWidth="1"/>
    <col min="11" max="11" width="10" style="167" customWidth="1"/>
    <col min="12" max="12" width="8.75" style="167" customWidth="1"/>
    <col min="13" max="13" width="9.5" style="167" customWidth="1"/>
    <col min="14" max="14" width="3.625" style="167" customWidth="1"/>
    <col min="15" max="25" width="9" style="167"/>
    <col min="26" max="26" width="10.5" style="167" customWidth="1"/>
    <col min="27" max="28" width="9" style="167"/>
    <col min="29" max="29" width="0" style="167" hidden="1" customWidth="1"/>
    <col min="30" max="30" width="9" style="167"/>
    <col min="31" max="31" width="9" style="167" customWidth="1"/>
    <col min="32" max="16384" width="9" style="167"/>
  </cols>
  <sheetData>
    <row r="1" spans="1:28" x14ac:dyDescent="0.25">
      <c r="A1" s="471"/>
      <c r="B1" s="471"/>
    </row>
    <row r="2" spans="1:28" ht="30.75" customHeight="1" x14ac:dyDescent="0.25">
      <c r="A2" s="471"/>
      <c r="B2" s="472"/>
      <c r="C2" s="580"/>
      <c r="D2" s="580"/>
      <c r="E2" s="580"/>
      <c r="F2" s="581"/>
      <c r="G2" s="168"/>
      <c r="H2" s="586"/>
      <c r="I2" s="586"/>
      <c r="J2" s="586"/>
      <c r="K2" s="587"/>
      <c r="L2" s="471"/>
      <c r="M2" s="471"/>
      <c r="N2" s="471"/>
      <c r="O2" s="471"/>
      <c r="P2" s="471"/>
      <c r="Q2" s="471"/>
      <c r="R2" s="471"/>
      <c r="S2" s="471"/>
      <c r="T2" s="471"/>
      <c r="U2" s="471"/>
      <c r="V2" s="471"/>
      <c r="W2" s="471"/>
      <c r="X2" s="471"/>
      <c r="Y2" s="471"/>
      <c r="Z2" s="471"/>
    </row>
    <row r="3" spans="1:28" ht="19.5" customHeight="1" x14ac:dyDescent="0.25">
      <c r="A3" s="471"/>
      <c r="B3" s="472"/>
      <c r="C3" s="580"/>
      <c r="D3" s="581"/>
      <c r="E3" s="169"/>
      <c r="F3" s="188"/>
      <c r="G3" s="170"/>
      <c r="H3" s="586"/>
      <c r="I3" s="586"/>
      <c r="J3" s="586"/>
      <c r="K3" s="587"/>
      <c r="L3" s="471"/>
      <c r="M3" s="471"/>
      <c r="N3" s="471"/>
      <c r="O3" s="471"/>
      <c r="P3" s="471"/>
      <c r="Q3" s="471"/>
      <c r="R3" s="471"/>
      <c r="S3" s="471"/>
      <c r="T3" s="471"/>
      <c r="U3" s="471"/>
      <c r="V3" s="471"/>
      <c r="W3" s="471"/>
      <c r="X3" s="471"/>
      <c r="Y3" s="471"/>
      <c r="Z3" s="471"/>
    </row>
    <row r="4" spans="1:28" ht="20.25" customHeight="1" x14ac:dyDescent="0.25">
      <c r="A4" s="471"/>
      <c r="B4" s="473"/>
      <c r="C4" s="582"/>
      <c r="D4" s="583"/>
      <c r="E4" s="171"/>
      <c r="F4" s="189"/>
      <c r="G4" s="172"/>
      <c r="H4" s="588"/>
      <c r="I4" s="588"/>
      <c r="J4" s="588"/>
      <c r="K4" s="589"/>
      <c r="L4" s="471"/>
      <c r="M4" s="488"/>
      <c r="N4" s="489"/>
      <c r="O4" s="471"/>
      <c r="P4" s="490"/>
      <c r="Q4" s="489"/>
      <c r="R4" s="191"/>
      <c r="S4" s="491"/>
      <c r="T4" s="489"/>
      <c r="U4" s="191"/>
      <c r="V4" s="191"/>
      <c r="W4" s="191"/>
      <c r="X4" s="191"/>
      <c r="Y4" s="191"/>
      <c r="Z4" s="191"/>
    </row>
    <row r="5" spans="1:28" ht="20.25" customHeight="1" x14ac:dyDescent="0.25">
      <c r="A5" s="471"/>
      <c r="B5" s="173"/>
      <c r="C5" s="476"/>
      <c r="D5" s="476"/>
      <c r="E5" s="484"/>
      <c r="F5" s="476"/>
      <c r="G5" s="485"/>
      <c r="H5" s="486"/>
      <c r="I5" s="486"/>
      <c r="J5" s="486"/>
      <c r="K5" s="486"/>
      <c r="L5" s="471"/>
      <c r="M5" s="191"/>
      <c r="N5" s="191"/>
      <c r="O5" s="191"/>
      <c r="P5" s="492"/>
      <c r="Q5" s="191"/>
      <c r="R5" s="191"/>
      <c r="S5" s="493"/>
      <c r="T5" s="191"/>
      <c r="U5" s="191"/>
      <c r="V5" s="191"/>
      <c r="W5" s="191"/>
      <c r="X5" s="191"/>
      <c r="Y5" s="191"/>
      <c r="Z5" s="191"/>
    </row>
    <row r="6" spans="1:28" x14ac:dyDescent="0.25">
      <c r="A6" s="471"/>
      <c r="B6" s="173"/>
      <c r="C6" s="187"/>
      <c r="D6" s="549"/>
      <c r="E6" s="482"/>
      <c r="F6" s="471"/>
      <c r="G6" s="483"/>
      <c r="H6" s="401"/>
      <c r="I6" s="487"/>
      <c r="J6" s="401"/>
      <c r="K6" s="486"/>
      <c r="L6" s="471"/>
      <c r="M6" s="191"/>
      <c r="N6" s="215"/>
      <c r="O6" s="204"/>
      <c r="P6" s="204"/>
      <c r="Q6" s="204"/>
      <c r="R6" s="204"/>
      <c r="S6" s="204"/>
      <c r="T6" s="204"/>
      <c r="U6" s="204"/>
      <c r="V6" s="204"/>
      <c r="W6" s="204"/>
      <c r="X6" s="204"/>
      <c r="Y6" s="204"/>
      <c r="Z6" s="494"/>
      <c r="AA6" s="208"/>
      <c r="AB6" s="208"/>
    </row>
    <row r="7" spans="1:28" ht="18.75" x14ac:dyDescent="0.25">
      <c r="A7" s="471"/>
      <c r="B7" s="471"/>
      <c r="C7" s="471"/>
      <c r="D7" s="471"/>
      <c r="E7" s="471"/>
      <c r="F7" s="471"/>
      <c r="G7" s="221"/>
      <c r="H7" s="221"/>
      <c r="I7" s="221"/>
      <c r="J7" s="221"/>
      <c r="K7" s="179"/>
      <c r="L7" s="471"/>
      <c r="M7" s="191"/>
      <c r="N7" s="495"/>
      <c r="O7" s="192"/>
      <c r="P7" s="205"/>
      <c r="Q7" s="205"/>
      <c r="R7" s="205"/>
      <c r="S7" s="205"/>
      <c r="T7" s="216"/>
      <c r="U7" s="216"/>
      <c r="V7" s="216"/>
      <c r="W7" s="216"/>
      <c r="X7" s="205"/>
      <c r="Y7" s="206"/>
      <c r="Z7" s="211"/>
      <c r="AA7" s="206"/>
      <c r="AB7" s="208"/>
    </row>
    <row r="8" spans="1:28" x14ac:dyDescent="0.25">
      <c r="A8" s="474"/>
      <c r="B8" s="174"/>
      <c r="C8" s="474"/>
      <c r="D8" s="474"/>
      <c r="E8" s="474"/>
      <c r="F8" s="471"/>
      <c r="G8" s="184"/>
      <c r="H8" s="401"/>
      <c r="I8" s="480"/>
      <c r="J8" s="221"/>
      <c r="K8" s="179"/>
      <c r="L8" s="474"/>
      <c r="M8" s="191"/>
      <c r="N8" s="495"/>
      <c r="O8" s="205"/>
      <c r="P8" s="205"/>
      <c r="Q8" s="205"/>
      <c r="R8" s="205"/>
      <c r="S8" s="205"/>
      <c r="T8" s="205"/>
      <c r="U8" s="205"/>
      <c r="V8" s="205"/>
      <c r="W8" s="205"/>
      <c r="X8" s="205"/>
      <c r="Y8" s="206"/>
      <c r="Z8" s="211"/>
      <c r="AA8" s="206"/>
      <c r="AB8" s="208"/>
    </row>
    <row r="9" spans="1:28" x14ac:dyDescent="0.25">
      <c r="A9" s="474"/>
      <c r="B9" s="475"/>
      <c r="C9" s="475"/>
      <c r="D9" s="475"/>
      <c r="E9" s="475"/>
      <c r="F9" s="475"/>
      <c r="G9" s="209"/>
      <c r="H9" s="176"/>
      <c r="I9" s="481"/>
      <c r="J9" s="479"/>
      <c r="K9" s="474"/>
      <c r="L9" s="474"/>
      <c r="M9" s="191"/>
      <c r="N9" s="495"/>
      <c r="O9" s="206"/>
      <c r="P9" s="205"/>
      <c r="Q9" s="390"/>
      <c r="R9" s="194"/>
      <c r="S9" s="206"/>
      <c r="T9" s="205"/>
      <c r="U9" s="205"/>
      <c r="V9" s="205"/>
      <c r="W9" s="206"/>
      <c r="X9" s="205"/>
      <c r="Y9" s="206"/>
      <c r="Z9" s="211"/>
      <c r="AA9" s="206"/>
      <c r="AB9" s="208"/>
    </row>
    <row r="10" spans="1:28" x14ac:dyDescent="0.25">
      <c r="A10" s="474"/>
      <c r="B10" s="264"/>
      <c r="C10" s="175"/>
      <c r="D10" s="175"/>
      <c r="E10" s="195"/>
      <c r="F10" s="176"/>
      <c r="G10" s="479"/>
      <c r="H10" s="264"/>
      <c r="I10" s="480"/>
      <c r="J10" s="480"/>
      <c r="K10" s="474"/>
      <c r="L10" s="474"/>
      <c r="M10" s="191"/>
      <c r="N10" s="495"/>
      <c r="O10" s="480"/>
      <c r="P10" s="480"/>
      <c r="Q10" s="209"/>
      <c r="R10" s="194"/>
      <c r="S10" s="205"/>
      <c r="T10" s="210"/>
      <c r="U10" s="471"/>
      <c r="V10" s="480"/>
      <c r="W10" s="205"/>
      <c r="X10" s="205"/>
      <c r="Y10" s="206"/>
      <c r="Z10" s="211"/>
      <c r="AA10" s="206"/>
      <c r="AB10" s="208"/>
    </row>
    <row r="11" spans="1:28" x14ac:dyDescent="0.25">
      <c r="A11" s="474"/>
      <c r="B11" s="475"/>
      <c r="C11" s="522"/>
      <c r="D11" s="522"/>
      <c r="E11" s="195"/>
      <c r="F11" s="475"/>
      <c r="G11" s="475"/>
      <c r="H11" s="475"/>
      <c r="I11" s="475"/>
      <c r="J11" s="475"/>
      <c r="K11" s="475"/>
      <c r="L11" s="474"/>
      <c r="M11" s="191"/>
      <c r="N11" s="495"/>
      <c r="O11" s="480"/>
      <c r="P11" s="480"/>
      <c r="Q11" s="209"/>
      <c r="R11" s="194"/>
      <c r="S11" s="480"/>
      <c r="T11" s="209"/>
      <c r="U11" s="471"/>
      <c r="V11" s="480"/>
      <c r="W11" s="480"/>
      <c r="X11" s="480"/>
      <c r="Y11" s="480"/>
      <c r="Z11" s="211"/>
      <c r="AA11" s="206"/>
      <c r="AB11" s="208"/>
    </row>
    <row r="12" spans="1:28" ht="28.5" customHeight="1" x14ac:dyDescent="0.25">
      <c r="A12" s="474"/>
      <c r="B12" s="177"/>
      <c r="C12" s="178"/>
      <c r="D12" s="178"/>
      <c r="E12" s="178"/>
      <c r="F12" s="178"/>
      <c r="G12" s="224"/>
      <c r="H12" s="178"/>
      <c r="I12" s="477"/>
      <c r="J12" s="478"/>
      <c r="K12" s="471"/>
      <c r="L12" s="471"/>
      <c r="M12" s="471"/>
      <c r="N12" s="495"/>
      <c r="O12" s="480"/>
      <c r="P12" s="206"/>
      <c r="Q12" s="206"/>
      <c r="R12" s="206"/>
      <c r="S12" s="206"/>
      <c r="T12" s="206"/>
      <c r="U12" s="205"/>
      <c r="V12" s="205"/>
      <c r="W12" s="205"/>
      <c r="X12" s="205"/>
      <c r="Y12" s="206"/>
      <c r="Z12" s="211"/>
      <c r="AA12" s="206"/>
      <c r="AB12" s="208"/>
    </row>
    <row r="13" spans="1:28" ht="15.75" customHeight="1" x14ac:dyDescent="0.25">
      <c r="A13" s="233"/>
      <c r="B13" s="236"/>
      <c r="C13" s="235"/>
      <c r="D13" s="235"/>
      <c r="E13" s="197"/>
      <c r="F13" s="197"/>
      <c r="G13" s="232"/>
      <c r="H13" s="232"/>
      <c r="I13" s="268"/>
      <c r="J13" s="268"/>
      <c r="K13" s="500"/>
      <c r="L13" s="264"/>
      <c r="M13" s="206"/>
      <c r="N13" s="495"/>
      <c r="O13" s="496"/>
      <c r="P13" s="471"/>
      <c r="Q13" s="465"/>
      <c r="R13" s="182"/>
      <c r="S13" s="465"/>
      <c r="T13" s="471"/>
      <c r="U13" s="479"/>
      <c r="V13" s="521"/>
      <c r="W13" s="584"/>
      <c r="X13" s="585"/>
      <c r="Y13" s="480"/>
      <c r="Z13" s="499"/>
      <c r="AA13" s="208"/>
      <c r="AB13" s="208"/>
    </row>
    <row r="14" spans="1:28" x14ac:dyDescent="0.25">
      <c r="A14" s="506"/>
      <c r="B14" s="236"/>
      <c r="C14" s="235"/>
      <c r="D14" s="235"/>
      <c r="E14" s="197"/>
      <c r="F14" s="197"/>
      <c r="G14" s="232"/>
      <c r="H14" s="232"/>
      <c r="I14" s="268"/>
      <c r="J14" s="268"/>
      <c r="K14" s="495"/>
      <c r="L14" s="195"/>
      <c r="M14" s="479"/>
      <c r="N14" s="495"/>
      <c r="O14" s="480"/>
      <c r="P14" s="206"/>
      <c r="Q14" s="206"/>
      <c r="R14" s="206"/>
      <c r="S14" s="206"/>
      <c r="T14" s="205"/>
      <c r="U14" s="205"/>
      <c r="V14" s="267"/>
      <c r="W14" s="585"/>
      <c r="X14" s="585"/>
      <c r="Y14" s="206"/>
      <c r="Z14" s="211"/>
      <c r="AA14" s="206"/>
      <c r="AB14" s="208"/>
    </row>
    <row r="15" spans="1:28" x14ac:dyDescent="0.25">
      <c r="A15" s="506"/>
      <c r="B15" s="236"/>
      <c r="C15" s="235"/>
      <c r="D15" s="235"/>
      <c r="E15" s="197"/>
      <c r="F15" s="197"/>
      <c r="G15" s="232"/>
      <c r="H15" s="232"/>
      <c r="I15" s="268"/>
      <c r="J15" s="268"/>
      <c r="K15" s="495"/>
      <c r="L15" s="480"/>
      <c r="M15" s="480"/>
      <c r="N15" s="495"/>
      <c r="O15" s="480"/>
      <c r="P15" s="206"/>
      <c r="Q15" s="206"/>
      <c r="R15" s="206"/>
      <c r="S15" s="206"/>
      <c r="T15" s="205"/>
      <c r="U15" s="205"/>
      <c r="V15" s="205"/>
      <c r="W15" s="205"/>
      <c r="X15" s="205"/>
      <c r="Y15" s="206"/>
      <c r="Z15" s="211"/>
      <c r="AA15" s="206"/>
      <c r="AB15" s="208"/>
    </row>
    <row r="16" spans="1:28" x14ac:dyDescent="0.25">
      <c r="A16" s="506"/>
      <c r="B16" s="236"/>
      <c r="C16" s="235"/>
      <c r="D16" s="235"/>
      <c r="E16" s="197"/>
      <c r="F16" s="197"/>
      <c r="G16" s="232"/>
      <c r="H16" s="232"/>
      <c r="I16" s="268"/>
      <c r="J16" s="268"/>
      <c r="K16" s="495"/>
      <c r="L16" s="264"/>
      <c r="M16" s="480"/>
      <c r="N16" s="495"/>
      <c r="O16" s="480"/>
      <c r="P16" s="209"/>
      <c r="Q16" s="218"/>
      <c r="R16" s="471"/>
      <c r="S16" s="471"/>
      <c r="T16" s="206"/>
      <c r="U16" s="390"/>
      <c r="V16" s="308"/>
      <c r="W16" s="182"/>
      <c r="X16" s="308"/>
      <c r="Y16" s="206"/>
      <c r="Z16" s="211"/>
      <c r="AA16" s="206"/>
      <c r="AB16" s="208"/>
    </row>
    <row r="17" spans="1:28" ht="15.75" customHeight="1" x14ac:dyDescent="0.25">
      <c r="A17" s="506"/>
      <c r="B17" s="236"/>
      <c r="C17" s="235"/>
      <c r="D17" s="235"/>
      <c r="E17" s="197"/>
      <c r="F17" s="197"/>
      <c r="G17" s="232"/>
      <c r="H17" s="232"/>
      <c r="I17" s="268"/>
      <c r="J17" s="268"/>
      <c r="K17" s="495"/>
      <c r="L17" s="195"/>
      <c r="M17" s="265"/>
      <c r="N17" s="495"/>
      <c r="O17" s="480"/>
      <c r="P17" s="480"/>
      <c r="Q17" s="206"/>
      <c r="R17" s="206"/>
      <c r="S17" s="206"/>
      <c r="T17" s="206"/>
      <c r="U17" s="206"/>
      <c r="V17" s="206"/>
      <c r="W17" s="206"/>
      <c r="X17" s="206"/>
      <c r="Y17" s="206"/>
      <c r="Z17" s="211"/>
      <c r="AA17" s="206"/>
      <c r="AB17" s="208"/>
    </row>
    <row r="18" spans="1:28" ht="15.75" customHeight="1" x14ac:dyDescent="0.25">
      <c r="A18" s="506"/>
      <c r="B18" s="236"/>
      <c r="C18" s="196"/>
      <c r="D18" s="196"/>
      <c r="E18" s="197"/>
      <c r="F18" s="197"/>
      <c r="G18" s="232"/>
      <c r="H18" s="232"/>
      <c r="I18" s="268"/>
      <c r="J18" s="268"/>
      <c r="K18" s="501"/>
      <c r="L18" s="503"/>
      <c r="M18" s="502"/>
      <c r="N18" s="495"/>
      <c r="O18" s="480"/>
      <c r="P18" s="206"/>
      <c r="Q18" s="206"/>
      <c r="R18" s="206"/>
      <c r="S18" s="206"/>
      <c r="T18" s="206"/>
      <c r="U18" s="206"/>
      <c r="V18" s="471"/>
      <c r="W18" s="471"/>
      <c r="X18" s="471"/>
      <c r="Y18" s="471"/>
      <c r="Z18" s="499"/>
      <c r="AA18" s="206"/>
      <c r="AB18" s="206"/>
    </row>
    <row r="19" spans="1:28" ht="15.75" customHeight="1" x14ac:dyDescent="0.25">
      <c r="A19" s="506"/>
      <c r="B19" s="236"/>
      <c r="C19" s="196"/>
      <c r="D19" s="196"/>
      <c r="E19" s="197"/>
      <c r="F19" s="197"/>
      <c r="G19" s="232"/>
      <c r="H19" s="232"/>
      <c r="I19" s="268"/>
      <c r="J19" s="268"/>
      <c r="K19" s="495"/>
      <c r="L19" s="266"/>
      <c r="M19" s="480"/>
      <c r="N19" s="495"/>
      <c r="O19" s="480"/>
      <c r="P19" s="206"/>
      <c r="Q19" s="206"/>
      <c r="R19" s="206"/>
      <c r="S19" s="206"/>
      <c r="T19" s="206"/>
      <c r="U19" s="390"/>
      <c r="V19" s="471"/>
      <c r="W19" s="471"/>
      <c r="X19" s="471"/>
      <c r="Y19" s="471"/>
      <c r="Z19" s="499"/>
      <c r="AA19" s="206"/>
      <c r="AB19" s="206"/>
    </row>
    <row r="20" spans="1:28" x14ac:dyDescent="0.25">
      <c r="A20" s="506"/>
      <c r="B20" s="232"/>
      <c r="C20" s="196"/>
      <c r="D20" s="196"/>
      <c r="E20" s="197"/>
      <c r="F20" s="197"/>
      <c r="G20" s="232"/>
      <c r="H20" s="232"/>
      <c r="I20" s="268"/>
      <c r="J20" s="268"/>
      <c r="K20" s="495"/>
      <c r="L20" s="201"/>
      <c r="M20" s="265"/>
      <c r="N20" s="495"/>
      <c r="O20" s="480"/>
      <c r="P20" s="206"/>
      <c r="Q20" s="206"/>
      <c r="R20" s="206"/>
      <c r="S20" s="206"/>
      <c r="T20" s="206"/>
      <c r="U20" s="206"/>
      <c r="V20" s="206"/>
      <c r="W20" s="206"/>
      <c r="X20" s="206"/>
      <c r="Y20" s="206"/>
      <c r="Z20" s="499"/>
      <c r="AA20" s="206"/>
      <c r="AB20" s="206"/>
    </row>
    <row r="21" spans="1:28" x14ac:dyDescent="0.25">
      <c r="A21" s="499"/>
      <c r="B21" s="232"/>
      <c r="C21" s="196"/>
      <c r="D21" s="196"/>
      <c r="E21" s="197"/>
      <c r="F21" s="197"/>
      <c r="G21" s="232"/>
      <c r="H21" s="232"/>
      <c r="I21" s="268"/>
      <c r="J21" s="268"/>
      <c r="K21" s="501"/>
      <c r="L21" s="504"/>
      <c r="M21" s="502"/>
      <c r="N21" s="495"/>
      <c r="O21" s="480"/>
      <c r="P21" s="480"/>
      <c r="Q21" s="212"/>
      <c r="R21" s="194"/>
      <c r="S21" s="206"/>
      <c r="T21" s="206"/>
      <c r="U21" s="206"/>
      <c r="V21" s="206"/>
      <c r="W21" s="206"/>
      <c r="X21" s="206"/>
      <c r="Y21" s="206"/>
      <c r="Z21" s="499"/>
      <c r="AA21" s="206"/>
      <c r="AB21" s="206"/>
    </row>
    <row r="22" spans="1:28" ht="15.75" customHeight="1" x14ac:dyDescent="0.25">
      <c r="A22" s="499"/>
      <c r="B22" s="232"/>
      <c r="C22" s="196"/>
      <c r="D22" s="196"/>
      <c r="E22" s="197"/>
      <c r="F22" s="197"/>
      <c r="G22" s="232"/>
      <c r="H22" s="232"/>
      <c r="I22" s="268"/>
      <c r="J22" s="268"/>
      <c r="K22" s="495"/>
      <c r="L22" s="480"/>
      <c r="M22" s="480"/>
      <c r="N22" s="495"/>
      <c r="O22" s="480"/>
      <c r="P22" s="480"/>
      <c r="Q22" s="212"/>
      <c r="R22" s="194"/>
      <c r="S22" s="206"/>
      <c r="T22" s="206"/>
      <c r="U22" s="206"/>
      <c r="V22" s="206"/>
      <c r="W22" s="206"/>
      <c r="X22" s="206"/>
      <c r="Y22" s="206"/>
      <c r="Z22" s="499"/>
      <c r="AA22" s="206"/>
      <c r="AB22" s="206"/>
    </row>
    <row r="23" spans="1:28" x14ac:dyDescent="0.25">
      <c r="A23" s="499"/>
      <c r="B23" s="232"/>
      <c r="C23" s="196"/>
      <c r="D23" s="196"/>
      <c r="E23" s="197"/>
      <c r="F23" s="197"/>
      <c r="G23" s="232"/>
      <c r="H23" s="232"/>
      <c r="I23" s="268"/>
      <c r="J23" s="268"/>
      <c r="K23" s="505"/>
      <c r="L23" s="218"/>
      <c r="M23" s="206"/>
      <c r="N23" s="495"/>
      <c r="O23" s="480"/>
      <c r="P23" s="480"/>
      <c r="Q23" s="212"/>
      <c r="R23" s="194"/>
      <c r="S23" s="206"/>
      <c r="T23" s="206"/>
      <c r="U23" s="206"/>
      <c r="V23" s="206"/>
      <c r="W23" s="206"/>
      <c r="X23" s="206"/>
      <c r="Y23" s="206"/>
      <c r="Z23" s="499"/>
      <c r="AA23" s="206"/>
      <c r="AB23" s="206"/>
    </row>
    <row r="24" spans="1:28" ht="15.75" customHeight="1" x14ac:dyDescent="0.25">
      <c r="A24" s="499"/>
      <c r="B24" s="232"/>
      <c r="C24" s="196"/>
      <c r="D24" s="196"/>
      <c r="E24" s="197"/>
      <c r="F24" s="197"/>
      <c r="G24" s="232"/>
      <c r="H24" s="232"/>
      <c r="I24" s="268"/>
      <c r="J24" s="268"/>
      <c r="K24" s="576"/>
      <c r="L24" s="577"/>
      <c r="M24" s="578"/>
      <c r="N24" s="495"/>
      <c r="O24" s="480"/>
      <c r="P24" s="480"/>
      <c r="Q24" s="212"/>
      <c r="R24" s="471"/>
      <c r="S24" s="206"/>
      <c r="T24" s="206"/>
      <c r="U24" s="206"/>
      <c r="V24" s="206"/>
      <c r="W24" s="206"/>
      <c r="X24" s="206"/>
      <c r="Y24" s="206"/>
      <c r="Z24" s="499"/>
      <c r="AA24" s="206"/>
      <c r="AB24" s="206"/>
    </row>
    <row r="25" spans="1:28" x14ac:dyDescent="0.25">
      <c r="A25" s="499"/>
      <c r="B25" s="232"/>
      <c r="C25" s="196"/>
      <c r="D25" s="196"/>
      <c r="E25" s="197"/>
      <c r="F25" s="197"/>
      <c r="G25" s="232"/>
      <c r="H25" s="232"/>
      <c r="I25" s="268"/>
      <c r="J25" s="268"/>
      <c r="K25" s="576"/>
      <c r="L25" s="577"/>
      <c r="M25" s="578"/>
      <c r="N25" s="495"/>
      <c r="O25" s="531"/>
      <c r="P25" s="206"/>
      <c r="Q25" s="206"/>
      <c r="R25" s="206"/>
      <c r="S25" s="206"/>
      <c r="T25" s="206"/>
      <c r="U25" s="206"/>
      <c r="V25" s="206"/>
      <c r="W25" s="206"/>
      <c r="X25" s="206"/>
      <c r="Y25" s="206"/>
      <c r="Z25" s="211"/>
      <c r="AA25" s="206"/>
      <c r="AB25" s="206"/>
    </row>
    <row r="26" spans="1:28" x14ac:dyDescent="0.25">
      <c r="A26" s="499"/>
      <c r="B26" s="232"/>
      <c r="C26" s="196"/>
      <c r="D26" s="196"/>
      <c r="E26" s="197"/>
      <c r="F26" s="197"/>
      <c r="G26" s="232"/>
      <c r="H26" s="232"/>
      <c r="I26" s="268"/>
      <c r="J26" s="268"/>
      <c r="K26" s="495"/>
      <c r="L26" s="526"/>
      <c r="M26" s="480"/>
      <c r="N26" s="495"/>
      <c r="O26" s="480"/>
      <c r="P26" s="529"/>
      <c r="Q26"/>
      <c r="R26"/>
      <c r="S26" s="206"/>
      <c r="T26" s="206"/>
      <c r="U26" s="206"/>
      <c r="V26" s="206"/>
      <c r="W26" s="206"/>
      <c r="X26" s="206"/>
      <c r="Y26" s="206"/>
      <c r="Z26" s="211"/>
      <c r="AA26" s="206"/>
      <c r="AB26" s="206"/>
    </row>
    <row r="27" spans="1:28" x14ac:dyDescent="0.25">
      <c r="A27" s="499"/>
      <c r="B27" s="232"/>
      <c r="C27" s="196"/>
      <c r="D27" s="196"/>
      <c r="E27" s="197"/>
      <c r="F27" s="197"/>
      <c r="G27" s="232"/>
      <c r="H27" s="232"/>
      <c r="I27" s="268"/>
      <c r="J27" s="268"/>
      <c r="K27" s="495"/>
      <c r="L27" s="201"/>
      <c r="M27" s="527"/>
      <c r="N27" s="495"/>
      <c r="O27" s="480"/>
      <c r="P27" s="528"/>
      <c r="Q27"/>
      <c r="R27"/>
      <c r="S27" s="206"/>
      <c r="T27" s="206"/>
      <c r="U27" s="206"/>
      <c r="V27" s="206"/>
      <c r="W27" s="206"/>
      <c r="X27" s="206"/>
      <c r="Y27" s="206"/>
      <c r="Z27" s="211"/>
      <c r="AA27" s="206"/>
      <c r="AB27" s="206"/>
    </row>
    <row r="28" spans="1:28" x14ac:dyDescent="0.25">
      <c r="A28" s="207"/>
      <c r="B28" s="232"/>
      <c r="C28" s="196"/>
      <c r="D28" s="196"/>
      <c r="E28" s="197"/>
      <c r="F28" s="197"/>
      <c r="G28" s="232"/>
      <c r="H28" s="232"/>
      <c r="I28" s="268"/>
      <c r="J28" s="268"/>
      <c r="K28" s="505"/>
      <c r="L28" s="526"/>
      <c r="M28" s="206"/>
      <c r="N28" s="497"/>
      <c r="O28" s="498"/>
      <c r="P28" s="530"/>
      <c r="Q28" s="536"/>
      <c r="R28" s="536"/>
      <c r="S28" s="213"/>
      <c r="T28" s="213"/>
      <c r="U28" s="213"/>
      <c r="V28" s="213"/>
      <c r="W28" s="213"/>
      <c r="X28" s="213"/>
      <c r="Y28" s="213"/>
      <c r="Z28" s="214"/>
      <c r="AA28" s="206"/>
      <c r="AB28" s="206"/>
    </row>
    <row r="29" spans="1:28" x14ac:dyDescent="0.25">
      <c r="A29" s="207"/>
      <c r="B29" s="232"/>
      <c r="C29" s="196"/>
      <c r="D29" s="196"/>
      <c r="E29" s="197"/>
      <c r="F29" s="197"/>
      <c r="G29" s="232"/>
      <c r="H29" s="232"/>
      <c r="I29" s="268"/>
      <c r="J29" s="268"/>
      <c r="K29" s="505"/>
      <c r="L29"/>
      <c r="M29" s="524"/>
      <c r="N29" s="471"/>
      <c r="O29" s="507"/>
      <c r="P29" s="193"/>
      <c r="Q29" s="193"/>
      <c r="R29" s="191"/>
      <c r="S29" s="191"/>
      <c r="T29" s="191"/>
      <c r="U29" s="191"/>
      <c r="V29" s="191"/>
      <c r="W29" s="191"/>
      <c r="X29" s="191"/>
      <c r="Y29" s="191"/>
      <c r="Z29" s="191"/>
      <c r="AA29" s="191"/>
      <c r="AB29" s="191"/>
    </row>
    <row r="30" spans="1:28" x14ac:dyDescent="0.25">
      <c r="A30" s="207"/>
      <c r="B30" s="232"/>
      <c r="C30" s="196"/>
      <c r="D30" s="196"/>
      <c r="E30" s="197"/>
      <c r="F30" s="197"/>
      <c r="G30" s="232"/>
      <c r="H30" s="232"/>
      <c r="I30" s="268"/>
      <c r="J30" s="268"/>
      <c r="K30" s="505"/>
      <c r="L30" s="480"/>
      <c r="M30" s="206"/>
      <c r="N30" s="471"/>
      <c r="O30" s="471"/>
      <c r="P30" s="471"/>
      <c r="Q30" s="471"/>
      <c r="R30" s="471"/>
      <c r="S30" s="471"/>
      <c r="T30" s="471"/>
      <c r="U30" s="471"/>
      <c r="V30" s="471"/>
      <c r="W30" s="471"/>
      <c r="X30" s="471"/>
      <c r="Y30" s="471"/>
      <c r="Z30" s="471"/>
      <c r="AA30" s="471"/>
    </row>
    <row r="31" spans="1:28" x14ac:dyDescent="0.25">
      <c r="A31" s="207"/>
      <c r="B31" s="232"/>
      <c r="C31" s="196"/>
      <c r="D31" s="196"/>
      <c r="E31" s="197"/>
      <c r="F31" s="197"/>
      <c r="G31" s="232"/>
      <c r="H31" s="232"/>
      <c r="I31" s="268"/>
      <c r="J31" s="268"/>
      <c r="K31" s="505"/>
      <c r="L31" s="480"/>
      <c r="M31" s="206"/>
      <c r="N31" s="191"/>
      <c r="O31" s="191"/>
      <c r="P31" s="191"/>
      <c r="Q31" s="191"/>
      <c r="R31" s="191"/>
      <c r="S31" s="191"/>
      <c r="T31" s="191"/>
      <c r="U31" s="191"/>
      <c r="V31" s="191"/>
      <c r="W31" s="191"/>
      <c r="X31" s="191"/>
      <c r="Y31" s="191"/>
      <c r="Z31" s="191"/>
      <c r="AA31" s="471"/>
    </row>
    <row r="32" spans="1:28" x14ac:dyDescent="0.25">
      <c r="A32" s="207"/>
      <c r="B32" s="232"/>
      <c r="C32" s="196"/>
      <c r="D32" s="196"/>
      <c r="E32" s="197"/>
      <c r="F32" s="197"/>
      <c r="G32" s="232"/>
      <c r="H32" s="197"/>
      <c r="I32" s="268"/>
      <c r="J32" s="268"/>
      <c r="K32" s="505"/>
      <c r="L32" s="480"/>
      <c r="M32" s="206"/>
      <c r="N32" s="191"/>
      <c r="O32" s="191"/>
      <c r="P32" s="191"/>
      <c r="Q32" s="191"/>
      <c r="R32" s="191"/>
      <c r="S32" s="191"/>
      <c r="T32" s="191"/>
      <c r="U32" s="191"/>
      <c r="V32" s="191"/>
      <c r="W32" s="191"/>
      <c r="X32" s="191"/>
      <c r="Y32" s="191"/>
      <c r="Z32" s="191"/>
      <c r="AA32" s="471"/>
    </row>
    <row r="33" spans="1:27" x14ac:dyDescent="0.25">
      <c r="A33" s="471"/>
      <c r="B33" s="234"/>
      <c r="C33" s="231"/>
      <c r="D33" s="231"/>
      <c r="E33" s="231"/>
      <c r="F33" s="231"/>
      <c r="G33" s="231"/>
      <c r="H33" s="509"/>
      <c r="I33" s="509"/>
      <c r="J33" s="509"/>
      <c r="K33" s="508"/>
      <c r="L33" s="471"/>
      <c r="M33" s="191"/>
      <c r="N33" s="191"/>
      <c r="O33" s="191"/>
      <c r="P33" s="191"/>
      <c r="Q33" s="191"/>
      <c r="R33" s="191"/>
      <c r="S33" s="191"/>
      <c r="T33" s="191"/>
      <c r="U33" s="191"/>
      <c r="V33" s="191"/>
      <c r="W33" s="191"/>
      <c r="X33" s="191"/>
      <c r="Y33" s="191"/>
      <c r="Z33" s="191"/>
      <c r="AA33" s="471"/>
    </row>
    <row r="34" spans="1:27" ht="15.75" customHeight="1" x14ac:dyDescent="0.25">
      <c r="A34" s="471"/>
      <c r="B34" s="185"/>
      <c r="C34" s="552"/>
      <c r="D34" s="552"/>
      <c r="E34" s="552"/>
      <c r="F34" s="185"/>
      <c r="G34" s="180"/>
      <c r="H34" s="180"/>
      <c r="I34" s="180"/>
      <c r="J34" s="185"/>
      <c r="K34" s="180"/>
      <c r="L34" s="179"/>
      <c r="M34" s="193"/>
      <c r="N34" s="193"/>
      <c r="O34" s="191"/>
      <c r="P34" s="191"/>
      <c r="Q34" s="191"/>
      <c r="R34" s="191"/>
      <c r="S34" s="191"/>
      <c r="T34" s="191"/>
      <c r="U34" s="191"/>
      <c r="V34" s="191"/>
      <c r="W34" s="191"/>
      <c r="X34" s="191"/>
      <c r="Y34" s="191"/>
      <c r="Z34" s="191"/>
      <c r="AA34" s="471"/>
    </row>
    <row r="35" spans="1:27" x14ac:dyDescent="0.25">
      <c r="A35" s="471"/>
      <c r="B35" s="552"/>
      <c r="C35" s="552"/>
      <c r="D35" s="552"/>
      <c r="E35" s="552"/>
      <c r="F35" s="180"/>
      <c r="G35" s="180"/>
      <c r="H35" s="180"/>
      <c r="I35" s="180"/>
      <c r="J35" s="180"/>
      <c r="K35" s="180"/>
      <c r="L35" s="179"/>
      <c r="M35" s="193"/>
      <c r="N35" s="193"/>
      <c r="O35" s="191"/>
      <c r="P35" s="191"/>
      <c r="Q35" s="191"/>
      <c r="R35" s="191"/>
      <c r="S35" s="191"/>
      <c r="T35" s="191"/>
      <c r="U35" s="191"/>
      <c r="V35" s="191"/>
      <c r="W35" s="191"/>
      <c r="X35" s="191"/>
      <c r="Y35" s="191"/>
      <c r="Z35" s="191"/>
      <c r="AA35" s="471"/>
    </row>
    <row r="36" spans="1:27" x14ac:dyDescent="0.25">
      <c r="A36" s="471"/>
      <c r="B36" s="181"/>
      <c r="C36" s="198"/>
      <c r="D36" s="538"/>
      <c r="E36" s="539"/>
      <c r="F36" s="540"/>
      <c r="G36" s="202"/>
      <c r="H36" s="221"/>
      <c r="I36" s="179"/>
      <c r="J36" s="179"/>
      <c r="K36" s="463"/>
      <c r="L36" s="179"/>
      <c r="M36" s="193"/>
      <c r="N36" s="193"/>
      <c r="O36" s="191"/>
      <c r="P36" s="191"/>
      <c r="Q36" s="191"/>
      <c r="R36" s="191"/>
      <c r="S36" s="191"/>
      <c r="T36" s="191"/>
      <c r="U36" s="191"/>
      <c r="V36" s="191"/>
      <c r="W36" s="191"/>
      <c r="X36" s="191"/>
      <c r="Y36" s="191"/>
      <c r="Z36" s="191"/>
      <c r="AA36" s="471"/>
    </row>
    <row r="37" spans="1:27" x14ac:dyDescent="0.25">
      <c r="A37" s="471"/>
      <c r="B37" s="182"/>
      <c r="C37" s="219"/>
      <c r="D37" s="541"/>
      <c r="E37" s="542"/>
      <c r="F37" s="540"/>
      <c r="G37" s="202"/>
      <c r="H37" s="221"/>
      <c r="I37" s="510"/>
      <c r="J37" s="510"/>
      <c r="K37" s="512"/>
      <c r="L37" s="510"/>
      <c r="M37" s="510"/>
      <c r="N37" s="510"/>
      <c r="O37" s="513"/>
      <c r="P37" s="191"/>
      <c r="Q37" s="191"/>
      <c r="R37" s="191"/>
      <c r="S37" s="191"/>
      <c r="T37" s="191"/>
      <c r="U37" s="191"/>
      <c r="V37" s="191"/>
      <c r="W37" s="191"/>
      <c r="X37" s="191"/>
      <c r="Y37" s="190"/>
      <c r="Z37" s="190"/>
    </row>
    <row r="38" spans="1:27" x14ac:dyDescent="0.25">
      <c r="A38" s="471"/>
      <c r="B38" s="181"/>
      <c r="C38" s="199"/>
      <c r="D38" s="543"/>
      <c r="E38" s="539"/>
      <c r="F38" s="540"/>
      <c r="G38" s="202"/>
      <c r="H38" s="221"/>
      <c r="I38" s="511"/>
      <c r="J38" s="511"/>
      <c r="K38" s="512"/>
      <c r="L38" s="510"/>
      <c r="M38" s="510"/>
      <c r="N38" s="510"/>
      <c r="O38" s="513"/>
      <c r="P38" s="191"/>
      <c r="Q38" s="191"/>
      <c r="R38" s="191"/>
      <c r="S38" s="191"/>
      <c r="T38" s="191"/>
      <c r="U38" s="191"/>
      <c r="V38" s="191"/>
      <c r="W38" s="191"/>
      <c r="X38" s="191"/>
      <c r="Y38" s="190"/>
      <c r="Z38" s="190"/>
    </row>
    <row r="39" spans="1:27" x14ac:dyDescent="0.25">
      <c r="A39" s="471"/>
      <c r="B39" s="181"/>
      <c r="C39" s="199"/>
      <c r="D39" s="560"/>
      <c r="E39" s="539"/>
      <c r="F39" s="540"/>
      <c r="G39" s="202"/>
      <c r="H39" s="221"/>
      <c r="I39" s="511"/>
      <c r="J39" s="511"/>
      <c r="K39" s="512"/>
      <c r="L39" s="510"/>
      <c r="M39" s="510"/>
      <c r="N39" s="510"/>
      <c r="O39" s="513"/>
      <c r="P39" s="191"/>
      <c r="Q39" s="191"/>
      <c r="R39" s="191"/>
      <c r="S39" s="191"/>
      <c r="T39" s="191"/>
      <c r="U39" s="191"/>
      <c r="V39" s="191"/>
      <c r="W39" s="191"/>
      <c r="X39" s="191"/>
      <c r="Y39" s="190"/>
      <c r="Z39" s="190"/>
    </row>
    <row r="40" spans="1:27" x14ac:dyDescent="0.25">
      <c r="A40" s="471"/>
      <c r="B40" s="183"/>
      <c r="C40" s="200"/>
      <c r="D40" s="544"/>
      <c r="E40" s="545"/>
      <c r="F40" s="540"/>
      <c r="G40" s="202"/>
      <c r="H40" s="221"/>
      <c r="I40" s="511"/>
      <c r="J40" s="511"/>
      <c r="K40" s="512"/>
      <c r="L40" s="510"/>
      <c r="M40" s="510"/>
      <c r="N40" s="510"/>
      <c r="O40" s="513"/>
      <c r="P40" s="191"/>
      <c r="Q40" s="191"/>
      <c r="R40" s="191"/>
      <c r="S40" s="191"/>
      <c r="T40" s="191"/>
      <c r="U40" s="191"/>
      <c r="V40" s="191"/>
      <c r="W40" s="191"/>
      <c r="X40" s="191"/>
      <c r="Y40" s="190"/>
      <c r="Z40" s="190"/>
    </row>
    <row r="41" spans="1:27" x14ac:dyDescent="0.25">
      <c r="A41" s="471"/>
      <c r="B41" s="179"/>
      <c r="C41" s="179"/>
      <c r="D41" s="545"/>
      <c r="E41" s="545"/>
      <c r="F41" s="545"/>
      <c r="G41" s="179"/>
      <c r="H41" s="180"/>
      <c r="I41" s="180"/>
      <c r="J41" s="180"/>
      <c r="K41" s="514"/>
      <c r="L41" s="179"/>
      <c r="M41" s="193"/>
      <c r="N41" s="193"/>
      <c r="O41" s="191"/>
      <c r="P41" s="191"/>
      <c r="Q41" s="191"/>
      <c r="R41" s="191"/>
      <c r="S41" s="191"/>
      <c r="T41" s="191"/>
      <c r="U41" s="191"/>
      <c r="V41" s="191"/>
      <c r="W41" s="191"/>
      <c r="X41" s="191"/>
      <c r="Y41" s="190"/>
      <c r="Z41" s="190"/>
    </row>
    <row r="42" spans="1:27" ht="15.75" customHeight="1" x14ac:dyDescent="0.25">
      <c r="A42" s="471"/>
      <c r="B42" s="471"/>
      <c r="C42" s="220"/>
      <c r="D42" s="559"/>
      <c r="E42" s="553"/>
      <c r="F42" s="553"/>
      <c r="G42" s="537"/>
      <c r="H42" s="537"/>
      <c r="I42" s="471"/>
      <c r="J42" s="471"/>
      <c r="K42" s="515"/>
      <c r="L42" s="179"/>
      <c r="M42" s="193"/>
      <c r="N42" s="193"/>
      <c r="O42" s="191"/>
      <c r="P42" s="191"/>
      <c r="Q42" s="191"/>
      <c r="R42" s="191"/>
      <c r="S42" s="191"/>
      <c r="T42" s="191"/>
      <c r="U42" s="191"/>
      <c r="V42" s="191"/>
      <c r="W42" s="191"/>
      <c r="X42" s="191"/>
      <c r="Y42" s="191"/>
      <c r="Z42" s="191"/>
    </row>
    <row r="43" spans="1:27" x14ac:dyDescent="0.25">
      <c r="A43" s="471"/>
      <c r="B43" s="471"/>
      <c r="C43" s="516"/>
      <c r="D43" s="559"/>
      <c r="E43" s="553"/>
      <c r="F43" s="553"/>
      <c r="G43" s="537"/>
      <c r="H43" s="537"/>
      <c r="I43" s="471"/>
      <c r="J43" s="471"/>
      <c r="K43" s="515"/>
      <c r="L43" s="179"/>
      <c r="M43" s="193"/>
      <c r="N43" s="193"/>
      <c r="O43" s="191"/>
      <c r="P43" s="191"/>
      <c r="Q43" s="191"/>
      <c r="R43" s="191"/>
      <c r="S43" s="191"/>
      <c r="T43" s="191"/>
      <c r="U43" s="191"/>
      <c r="V43" s="191"/>
      <c r="W43" s="191"/>
      <c r="X43" s="191"/>
      <c r="Y43" s="191"/>
      <c r="Z43" s="191"/>
    </row>
    <row r="44" spans="1:27" x14ac:dyDescent="0.25">
      <c r="A44" s="471"/>
      <c r="B44" s="182"/>
      <c r="C44" s="465"/>
      <c r="D44" s="546"/>
      <c r="E44" s="471"/>
      <c r="F44" s="471"/>
      <c r="G44" s="471"/>
      <c r="H44" s="471"/>
      <c r="I44" s="471"/>
      <c r="J44" s="471"/>
      <c r="K44" s="515"/>
      <c r="L44" s="179"/>
      <c r="M44" s="193"/>
      <c r="N44" s="193"/>
      <c r="O44" s="191"/>
      <c r="P44" s="191"/>
      <c r="Q44" s="191"/>
      <c r="R44" s="191"/>
      <c r="S44" s="191"/>
      <c r="T44" s="191"/>
      <c r="U44" s="191"/>
      <c r="V44" s="191"/>
      <c r="W44" s="191"/>
      <c r="X44" s="191"/>
      <c r="Y44" s="191"/>
      <c r="Z44" s="191"/>
    </row>
    <row r="45" spans="1:27" x14ac:dyDescent="0.25">
      <c r="A45" s="471"/>
      <c r="B45" s="471"/>
      <c r="C45" s="471"/>
      <c r="D45" s="471"/>
      <c r="E45" s="471"/>
      <c r="F45" s="471"/>
      <c r="G45" s="471"/>
      <c r="H45" s="471"/>
      <c r="I45" s="471"/>
      <c r="J45" s="471"/>
      <c r="K45" s="515"/>
      <c r="L45" s="179"/>
      <c r="M45" s="193"/>
      <c r="N45" s="193"/>
      <c r="O45" s="191"/>
      <c r="P45" s="191"/>
      <c r="Q45" s="191"/>
      <c r="R45" s="191"/>
      <c r="S45" s="191"/>
      <c r="T45" s="191"/>
      <c r="U45" s="191"/>
      <c r="V45" s="191"/>
      <c r="W45" s="191"/>
      <c r="X45" s="191"/>
      <c r="Y45" s="191"/>
      <c r="Z45" s="191"/>
    </row>
    <row r="46" spans="1:27" x14ac:dyDescent="0.25">
      <c r="A46" s="471"/>
      <c r="B46" s="185"/>
      <c r="C46" s="180"/>
      <c r="D46" s="180"/>
      <c r="E46" s="180"/>
      <c r="F46" s="180"/>
      <c r="G46" s="180"/>
      <c r="H46" s="180"/>
      <c r="I46" s="180"/>
      <c r="J46" s="180"/>
      <c r="K46" s="470"/>
      <c r="L46" s="179"/>
      <c r="M46" s="193"/>
      <c r="N46" s="193"/>
      <c r="O46" s="191"/>
      <c r="P46" s="191"/>
      <c r="Q46" s="191"/>
      <c r="R46" s="191"/>
      <c r="S46" s="191"/>
      <c r="T46" s="191"/>
      <c r="U46" s="191"/>
      <c r="V46" s="191"/>
      <c r="W46" s="191"/>
      <c r="X46" s="191"/>
      <c r="Y46" s="191"/>
      <c r="Z46" s="191"/>
    </row>
    <row r="47" spans="1:27" x14ac:dyDescent="0.25">
      <c r="A47" s="471"/>
      <c r="B47" s="180"/>
      <c r="C47" s="180"/>
      <c r="D47" s="180"/>
      <c r="E47" s="180"/>
      <c r="F47" s="180"/>
      <c r="G47" s="180"/>
      <c r="H47" s="180"/>
      <c r="I47" s="180"/>
      <c r="J47" s="180"/>
      <c r="K47" s="470"/>
      <c r="L47" s="179"/>
      <c r="M47" s="193"/>
      <c r="N47" s="193"/>
      <c r="O47" s="191"/>
      <c r="P47" s="191"/>
      <c r="Q47" s="191"/>
      <c r="R47" s="191"/>
      <c r="S47" s="191"/>
      <c r="T47" s="191"/>
      <c r="U47" s="191"/>
      <c r="V47" s="191"/>
      <c r="W47" s="191"/>
      <c r="X47" s="191"/>
      <c r="Y47" s="191"/>
      <c r="Z47" s="191"/>
    </row>
    <row r="48" spans="1:27" x14ac:dyDescent="0.25">
      <c r="A48" s="471"/>
      <c r="B48" s="579"/>
      <c r="C48" s="579"/>
      <c r="D48" s="535"/>
      <c r="E48" s="180"/>
      <c r="F48" s="579"/>
      <c r="G48" s="579"/>
      <c r="H48" s="180"/>
      <c r="I48" s="180"/>
      <c r="J48" s="579"/>
      <c r="K48" s="579"/>
      <c r="L48" s="179"/>
      <c r="M48" s="193"/>
      <c r="N48" s="193"/>
      <c r="O48" s="191"/>
      <c r="P48" s="191"/>
      <c r="Q48" s="191"/>
      <c r="R48" s="191"/>
      <c r="S48" s="191"/>
      <c r="T48" s="191"/>
      <c r="U48" s="191"/>
      <c r="V48" s="191"/>
      <c r="W48" s="191"/>
      <c r="X48" s="191"/>
      <c r="Y48" s="191"/>
      <c r="Z48" s="191"/>
    </row>
    <row r="49" spans="1:31" x14ac:dyDescent="0.25">
      <c r="A49" s="471"/>
      <c r="B49" s="470"/>
      <c r="C49" s="470"/>
      <c r="D49" s="535"/>
      <c r="E49" s="180"/>
      <c r="F49" s="470"/>
      <c r="G49" s="470"/>
      <c r="H49" s="180"/>
      <c r="I49" s="180"/>
      <c r="J49" s="470"/>
      <c r="K49" s="470"/>
      <c r="L49" s="179"/>
      <c r="M49" s="193"/>
      <c r="N49" s="193"/>
      <c r="O49" s="191"/>
      <c r="P49" s="191"/>
      <c r="Q49" s="191"/>
      <c r="R49" s="191"/>
      <c r="S49" s="191"/>
      <c r="T49" s="191"/>
      <c r="U49" s="191"/>
      <c r="V49" s="191"/>
      <c r="W49" s="191"/>
      <c r="X49" s="191"/>
      <c r="Y49" s="191"/>
      <c r="Z49" s="191"/>
    </row>
    <row r="50" spans="1:31" x14ac:dyDescent="0.25">
      <c r="A50" s="471"/>
      <c r="B50" s="181"/>
      <c r="C50" s="399"/>
      <c r="D50" s="548"/>
      <c r="E50" s="180"/>
      <c r="F50" s="186"/>
      <c r="G50" s="398"/>
      <c r="H50" s="180"/>
      <c r="I50" s="180"/>
      <c r="J50" s="222"/>
      <c r="K50" s="461"/>
      <c r="L50" s="179"/>
      <c r="M50" s="193"/>
      <c r="N50" s="193"/>
      <c r="O50" s="191"/>
      <c r="P50" s="191"/>
      <c r="Q50" s="191"/>
      <c r="R50" s="191"/>
      <c r="S50" s="191"/>
      <c r="T50" s="191"/>
      <c r="U50" s="191"/>
      <c r="V50" s="191"/>
      <c r="W50" s="191"/>
      <c r="X50" s="190"/>
      <c r="Y50" s="190"/>
      <c r="Z50" s="190"/>
    </row>
    <row r="51" spans="1:31" ht="18.75" customHeight="1" x14ac:dyDescent="0.25">
      <c r="A51" s="471"/>
      <c r="B51" s="181"/>
      <c r="C51" s="399"/>
      <c r="D51" s="548"/>
      <c r="E51" s="180"/>
      <c r="F51" s="471"/>
      <c r="G51" s="471"/>
      <c r="H51" s="471"/>
      <c r="I51" s="180"/>
      <c r="J51" s="181"/>
      <c r="K51" s="461"/>
      <c r="L51" s="179"/>
      <c r="M51" s="179"/>
      <c r="N51" s="179"/>
      <c r="O51" s="471"/>
      <c r="P51" s="471"/>
      <c r="Q51" s="471"/>
      <c r="R51" s="471"/>
      <c r="S51" s="471"/>
      <c r="T51" s="471"/>
      <c r="U51" s="471"/>
      <c r="V51" s="471"/>
      <c r="W51" s="471"/>
      <c r="AE51" s="217"/>
    </row>
    <row r="52" spans="1:31" x14ac:dyDescent="0.25">
      <c r="A52" s="471"/>
      <c r="B52" s="517"/>
      <c r="C52" s="400"/>
      <c r="D52" s="548"/>
      <c r="E52" s="180"/>
      <c r="F52" s="180"/>
      <c r="G52" s="180"/>
      <c r="H52" s="180"/>
      <c r="I52" s="180"/>
      <c r="J52" s="471"/>
      <c r="K52" s="471"/>
      <c r="L52" s="471"/>
      <c r="M52" s="471"/>
      <c r="N52" s="179"/>
      <c r="O52" s="471"/>
      <c r="P52" s="471"/>
      <c r="Q52" s="471"/>
      <c r="R52" s="471"/>
      <c r="S52" s="471"/>
      <c r="T52" s="471"/>
      <c r="U52" s="471"/>
      <c r="V52" s="471"/>
      <c r="W52" s="471"/>
      <c r="AE52" s="217"/>
    </row>
    <row r="53" spans="1:31" x14ac:dyDescent="0.25">
      <c r="A53" s="471"/>
      <c r="B53" s="517"/>
      <c r="C53" s="400"/>
      <c r="D53" s="548"/>
      <c r="E53" s="180"/>
      <c r="F53" s="180"/>
      <c r="G53" s="180"/>
      <c r="H53" s="180"/>
      <c r="I53" s="180"/>
      <c r="J53" s="471"/>
      <c r="K53" s="471"/>
      <c r="L53" s="471"/>
      <c r="M53" s="471"/>
      <c r="N53" s="179"/>
      <c r="O53" s="471"/>
      <c r="P53" s="471"/>
      <c r="Q53" s="471"/>
      <c r="R53" s="471"/>
      <c r="S53" s="471"/>
      <c r="T53" s="471"/>
      <c r="U53" s="471"/>
      <c r="V53" s="471"/>
      <c r="W53" s="471"/>
      <c r="AE53" s="217"/>
    </row>
    <row r="54" spans="1:31" x14ac:dyDescent="0.25">
      <c r="A54" s="471"/>
      <c r="B54" s="471"/>
      <c r="C54" s="471"/>
      <c r="D54" s="471"/>
      <c r="E54" s="471"/>
      <c r="F54" s="180"/>
      <c r="G54" s="180"/>
      <c r="H54" s="180"/>
      <c r="I54" s="180"/>
      <c r="J54" s="180"/>
      <c r="K54" s="180"/>
      <c r="L54" s="179"/>
      <c r="M54" s="179"/>
      <c r="N54" s="179"/>
      <c r="O54" s="471"/>
      <c r="P54" s="471"/>
      <c r="Q54" s="471"/>
      <c r="R54" s="471"/>
      <c r="S54" s="471"/>
      <c r="T54" s="471"/>
      <c r="U54" s="471"/>
      <c r="V54" s="471"/>
      <c r="W54" s="471"/>
      <c r="AE54" s="217"/>
    </row>
    <row r="55" spans="1:31" x14ac:dyDescent="0.25">
      <c r="A55" s="471"/>
      <c r="B55" s="179"/>
      <c r="C55" s="179"/>
      <c r="D55" s="179"/>
      <c r="E55" s="179"/>
      <c r="F55" s="179"/>
      <c r="G55" s="179"/>
      <c r="H55" s="180"/>
      <c r="I55" s="180"/>
      <c r="J55" s="180"/>
      <c r="K55" s="180"/>
      <c r="L55" s="179"/>
      <c r="M55" s="179"/>
      <c r="N55" s="179"/>
      <c r="O55" s="471"/>
      <c r="P55" s="471"/>
      <c r="Q55" s="471"/>
      <c r="R55" s="471"/>
      <c r="S55" s="471"/>
      <c r="T55" s="471"/>
      <c r="U55" s="471"/>
      <c r="V55" s="471"/>
      <c r="W55" s="471"/>
      <c r="AE55" s="217"/>
    </row>
    <row r="56" spans="1:31" x14ac:dyDescent="0.25">
      <c r="A56" s="471"/>
      <c r="B56" s="179"/>
      <c r="C56" s="179"/>
      <c r="D56" s="179"/>
      <c r="E56" s="179"/>
      <c r="F56" s="179"/>
      <c r="G56" s="179"/>
      <c r="H56" s="180"/>
      <c r="I56" s="180"/>
      <c r="J56" s="180"/>
      <c r="K56" s="180"/>
      <c r="L56" s="179"/>
      <c r="M56" s="179"/>
      <c r="N56" s="179"/>
      <c r="O56" s="471"/>
      <c r="P56" s="471"/>
      <c r="Q56" s="471"/>
      <c r="R56" s="471"/>
      <c r="S56" s="471"/>
      <c r="T56" s="471"/>
      <c r="U56" s="471"/>
      <c r="V56" s="471"/>
      <c r="W56" s="471"/>
      <c r="AE56" s="217"/>
    </row>
    <row r="57" spans="1:31" x14ac:dyDescent="0.25">
      <c r="A57" s="471"/>
      <c r="B57" s="174"/>
      <c r="C57" s="179"/>
      <c r="D57" s="179"/>
      <c r="E57" s="179"/>
      <c r="F57" s="179"/>
      <c r="G57" s="179"/>
      <c r="H57" s="179"/>
      <c r="I57" s="179"/>
      <c r="J57" s="179"/>
      <c r="K57" s="179"/>
      <c r="L57" s="179"/>
      <c r="M57" s="179"/>
      <c r="N57" s="179"/>
      <c r="O57" s="471"/>
      <c r="P57" s="471"/>
      <c r="Q57" s="471"/>
      <c r="R57" s="471"/>
      <c r="S57" s="471"/>
      <c r="T57" s="471"/>
      <c r="U57" s="471"/>
      <c r="V57" s="471"/>
      <c r="W57" s="471"/>
      <c r="AE57" s="217"/>
    </row>
    <row r="58" spans="1:31" x14ac:dyDescent="0.25">
      <c r="A58" s="471"/>
      <c r="B58" s="179"/>
      <c r="C58" s="179"/>
      <c r="D58" s="179"/>
      <c r="E58" s="179"/>
      <c r="F58" s="179"/>
      <c r="G58" s="179"/>
      <c r="H58" s="179"/>
      <c r="I58" s="179"/>
      <c r="J58" s="179"/>
      <c r="K58" s="179"/>
      <c r="L58" s="179"/>
      <c r="M58" s="179"/>
      <c r="N58" s="179"/>
      <c r="O58" s="471"/>
      <c r="P58" s="471"/>
      <c r="Q58" s="471"/>
      <c r="R58" s="471"/>
      <c r="S58" s="471"/>
      <c r="T58" s="471"/>
      <c r="U58" s="471"/>
      <c r="V58" s="471"/>
      <c r="W58" s="471"/>
      <c r="AE58" s="217"/>
    </row>
    <row r="59" spans="1:31" x14ac:dyDescent="0.25">
      <c r="A59" s="471"/>
      <c r="B59" s="579"/>
      <c r="C59" s="579"/>
      <c r="D59" s="579"/>
      <c r="E59" s="579"/>
      <c r="F59" s="579"/>
      <c r="G59" s="579"/>
      <c r="H59" s="179"/>
      <c r="I59" s="179"/>
      <c r="J59" s="579"/>
      <c r="K59" s="579"/>
      <c r="L59" s="179"/>
      <c r="M59" s="179"/>
      <c r="N59" s="179"/>
      <c r="O59" s="471"/>
      <c r="P59" s="471"/>
      <c r="Q59" s="471"/>
      <c r="R59" s="471"/>
      <c r="S59" s="471"/>
      <c r="T59" s="471"/>
      <c r="U59" s="471"/>
      <c r="V59" s="471"/>
      <c r="W59" s="471"/>
    </row>
    <row r="60" spans="1:31" x14ac:dyDescent="0.25">
      <c r="A60" s="471"/>
      <c r="B60" s="179"/>
      <c r="C60" s="179"/>
      <c r="D60" s="179"/>
      <c r="E60" s="179"/>
      <c r="F60" s="179"/>
      <c r="G60" s="179"/>
      <c r="H60" s="179"/>
      <c r="I60" s="179"/>
      <c r="J60" s="179"/>
      <c r="K60" s="179"/>
      <c r="L60" s="179"/>
      <c r="M60" s="179"/>
      <c r="N60" s="179"/>
      <c r="O60" s="471"/>
      <c r="P60" s="471"/>
      <c r="Q60" s="471"/>
      <c r="R60" s="471"/>
      <c r="S60" s="471"/>
      <c r="T60" s="471"/>
      <c r="U60" s="471"/>
      <c r="V60" s="471"/>
      <c r="W60" s="471"/>
    </row>
    <row r="61" spans="1:31" x14ac:dyDescent="0.25">
      <c r="A61" s="471"/>
      <c r="B61" s="181"/>
      <c r="C61" s="198"/>
      <c r="D61" s="538"/>
      <c r="E61" s="179"/>
      <c r="F61" s="183"/>
      <c r="G61" s="202"/>
      <c r="H61" s="179"/>
      <c r="I61" s="179"/>
      <c r="J61" s="223"/>
      <c r="K61" s="462"/>
      <c r="L61" s="471"/>
      <c r="M61" s="471"/>
      <c r="N61" s="471"/>
      <c r="O61" s="471"/>
      <c r="P61" s="471"/>
      <c r="Q61" s="471"/>
      <c r="R61" s="471"/>
      <c r="S61" s="471"/>
      <c r="T61" s="471"/>
      <c r="U61" s="471"/>
      <c r="V61" s="471"/>
      <c r="W61" s="471"/>
    </row>
    <row r="62" spans="1:31" x14ac:dyDescent="0.25">
      <c r="A62" s="471"/>
      <c r="B62" s="181"/>
      <c r="C62" s="237"/>
      <c r="D62" s="547"/>
      <c r="E62" s="179"/>
      <c r="F62" s="181"/>
      <c r="G62" s="203"/>
      <c r="H62" s="179"/>
      <c r="I62" s="179"/>
      <c r="J62" s="222"/>
      <c r="K62" s="471"/>
      <c r="L62" s="471"/>
      <c r="M62" s="471"/>
      <c r="N62" s="471"/>
      <c r="O62" s="471"/>
      <c r="P62" s="471"/>
      <c r="Q62" s="471"/>
      <c r="R62" s="471"/>
      <c r="S62" s="471"/>
      <c r="T62" s="471"/>
      <c r="U62" s="471"/>
      <c r="V62" s="471"/>
      <c r="W62" s="471"/>
    </row>
    <row r="63" spans="1:31" x14ac:dyDescent="0.25">
      <c r="A63" s="471"/>
      <c r="B63" s="183"/>
      <c r="C63" s="200"/>
      <c r="D63" s="544"/>
      <c r="E63" s="179"/>
      <c r="F63" s="183"/>
      <c r="G63" s="202"/>
      <c r="H63" s="179"/>
      <c r="I63" s="179"/>
      <c r="J63" s="183"/>
      <c r="K63" s="519"/>
      <c r="L63" s="471"/>
      <c r="M63" s="471"/>
      <c r="N63" s="471"/>
      <c r="O63" s="471"/>
      <c r="P63" s="471"/>
      <c r="Q63" s="471"/>
      <c r="R63" s="471"/>
      <c r="S63" s="471"/>
      <c r="T63" s="471"/>
      <c r="U63" s="471"/>
      <c r="V63" s="471"/>
      <c r="W63" s="471"/>
    </row>
    <row r="64" spans="1:31" x14ac:dyDescent="0.25">
      <c r="A64" s="471"/>
      <c r="B64" s="179"/>
      <c r="C64" s="200"/>
      <c r="D64" s="544"/>
      <c r="E64" s="179"/>
      <c r="F64" s="179"/>
      <c r="G64" s="179"/>
      <c r="H64" s="179"/>
      <c r="I64" s="179"/>
      <c r="J64" s="179"/>
      <c r="K64" s="179"/>
      <c r="L64" s="471"/>
      <c r="M64" s="471"/>
      <c r="N64" s="471"/>
      <c r="O64" s="471"/>
      <c r="P64" s="471"/>
      <c r="Q64" s="471"/>
      <c r="R64" s="471"/>
      <c r="S64" s="471"/>
      <c r="T64" s="471"/>
      <c r="U64" s="471"/>
      <c r="V64" s="471"/>
      <c r="W64" s="471"/>
    </row>
    <row r="65" spans="1:23" x14ac:dyDescent="0.25">
      <c r="A65" s="471"/>
      <c r="B65" s="471"/>
      <c r="C65" s="471"/>
      <c r="D65" s="542"/>
      <c r="E65" s="471"/>
      <c r="F65" s="471"/>
      <c r="G65" s="471"/>
      <c r="H65" s="471"/>
      <c r="I65" s="471"/>
      <c r="J65" s="471"/>
      <c r="K65" s="471"/>
      <c r="L65" s="471"/>
      <c r="M65" s="471"/>
      <c r="N65" s="471"/>
      <c r="O65" s="471"/>
      <c r="P65" s="471"/>
      <c r="Q65" s="471"/>
      <c r="R65" s="471"/>
      <c r="S65" s="471"/>
      <c r="T65" s="471"/>
      <c r="U65" s="471"/>
      <c r="V65" s="471"/>
      <c r="W65" s="471"/>
    </row>
    <row r="66" spans="1:23" ht="15.75" customHeight="1" x14ac:dyDescent="0.25">
      <c r="A66" s="471"/>
      <c r="B66" s="471"/>
      <c r="C66" s="238"/>
      <c r="D66" s="550"/>
      <c r="E66" s="518"/>
      <c r="F66" s="471"/>
      <c r="G66" s="471"/>
      <c r="H66" s="471"/>
      <c r="I66" s="471"/>
      <c r="J66" s="471"/>
      <c r="K66" s="471"/>
      <c r="L66" s="471"/>
      <c r="M66" s="471"/>
      <c r="N66" s="471"/>
      <c r="O66" s="471"/>
      <c r="P66" s="471"/>
      <c r="Q66" s="471"/>
      <c r="R66" s="471"/>
      <c r="S66" s="471"/>
      <c r="T66" s="471"/>
      <c r="U66" s="471"/>
      <c r="V66" s="471"/>
      <c r="W66" s="471"/>
    </row>
    <row r="67" spans="1:23" x14ac:dyDescent="0.25">
      <c r="A67" s="471"/>
      <c r="B67" s="471"/>
      <c r="C67" s="471"/>
      <c r="D67" s="551"/>
      <c r="E67" s="518"/>
      <c r="F67" s="471"/>
      <c r="G67" s="471"/>
      <c r="H67" s="471"/>
      <c r="I67" s="471"/>
      <c r="J67" s="471"/>
      <c r="K67" s="471"/>
      <c r="L67" s="471"/>
      <c r="M67" s="471"/>
      <c r="N67" s="471"/>
      <c r="O67" s="471"/>
      <c r="P67" s="471"/>
      <c r="Q67" s="471"/>
      <c r="R67" s="471"/>
      <c r="S67" s="471"/>
      <c r="T67" s="471"/>
      <c r="U67" s="471"/>
      <c r="V67" s="471"/>
      <c r="W67" s="471"/>
    </row>
    <row r="68" spans="1:23" x14ac:dyDescent="0.25">
      <c r="A68" s="471"/>
      <c r="B68" s="471"/>
      <c r="C68" s="471"/>
      <c r="D68" s="471"/>
      <c r="E68" s="471"/>
      <c r="F68" s="471"/>
      <c r="G68" s="471"/>
      <c r="H68" s="471"/>
      <c r="I68" s="471"/>
      <c r="J68" s="471"/>
      <c r="K68" s="471"/>
      <c r="L68" s="471"/>
      <c r="M68" s="471"/>
      <c r="N68" s="471"/>
      <c r="O68" s="471"/>
      <c r="P68" s="471"/>
      <c r="Q68" s="471"/>
      <c r="R68" s="471"/>
      <c r="S68" s="471"/>
      <c r="T68" s="471"/>
      <c r="U68" s="471"/>
      <c r="V68" s="471"/>
      <c r="W68" s="471"/>
    </row>
    <row r="69" spans="1:23" x14ac:dyDescent="0.25">
      <c r="A69" s="471"/>
      <c r="B69" s="471"/>
      <c r="C69" s="471"/>
      <c r="D69" s="471"/>
      <c r="E69" s="471"/>
      <c r="F69" s="471"/>
      <c r="G69" s="471"/>
      <c r="H69" s="471"/>
      <c r="I69" s="471"/>
      <c r="J69" s="471"/>
      <c r="K69" s="471"/>
      <c r="L69" s="471"/>
      <c r="M69" s="471"/>
      <c r="N69" s="471"/>
      <c r="O69" s="471"/>
      <c r="P69" s="471"/>
      <c r="Q69" s="471"/>
      <c r="R69" s="471"/>
      <c r="S69" s="471"/>
      <c r="T69" s="471"/>
      <c r="U69" s="471"/>
      <c r="V69" s="471"/>
      <c r="W69" s="471"/>
    </row>
    <row r="70" spans="1:23" x14ac:dyDescent="0.25">
      <c r="A70" s="471"/>
      <c r="B70" s="471"/>
      <c r="C70" s="471"/>
      <c r="D70" s="471"/>
      <c r="E70" s="471"/>
      <c r="F70" s="471"/>
      <c r="G70" s="471"/>
      <c r="H70" s="471"/>
      <c r="I70" s="471"/>
      <c r="J70" s="471"/>
      <c r="K70" s="471"/>
      <c r="L70" s="471"/>
      <c r="M70" s="471"/>
      <c r="N70" s="471"/>
      <c r="O70" s="471"/>
      <c r="P70" s="471"/>
      <c r="Q70" s="471"/>
      <c r="R70" s="471"/>
      <c r="S70" s="471"/>
      <c r="T70" s="471"/>
      <c r="U70" s="471"/>
      <c r="V70" s="471"/>
      <c r="W70" s="471"/>
    </row>
    <row r="71" spans="1:23" x14ac:dyDescent="0.25">
      <c r="A71" s="471"/>
      <c r="B71" s="471"/>
      <c r="C71" s="471"/>
      <c r="D71" s="471"/>
      <c r="E71" s="471"/>
      <c r="F71" s="471"/>
      <c r="G71" s="471"/>
      <c r="H71" s="471"/>
      <c r="I71" s="471"/>
      <c r="J71" s="471"/>
      <c r="K71" s="471"/>
      <c r="L71" s="471"/>
      <c r="M71" s="471"/>
      <c r="N71" s="471"/>
      <c r="O71" s="471"/>
      <c r="P71" s="471"/>
      <c r="Q71" s="471"/>
      <c r="R71" s="471"/>
      <c r="S71" s="471"/>
      <c r="T71" s="471"/>
      <c r="U71" s="471"/>
      <c r="V71" s="471"/>
      <c r="W71" s="471"/>
    </row>
  </sheetData>
  <sheetProtection password="C5B9" sheet="1" objects="1" scenarios="1"/>
  <mergeCells count="14">
    <mergeCell ref="C2:F2"/>
    <mergeCell ref="H2:K2"/>
    <mergeCell ref="H3:K3"/>
    <mergeCell ref="H4:K4"/>
    <mergeCell ref="F59:G59"/>
    <mergeCell ref="J59:K59"/>
    <mergeCell ref="B59:E59"/>
    <mergeCell ref="C3:D3"/>
    <mergeCell ref="C4:D4"/>
    <mergeCell ref="W13:X14"/>
    <mergeCell ref="B48:C48"/>
    <mergeCell ref="F48:G48"/>
    <mergeCell ref="J48:K48"/>
    <mergeCell ref="K24:M25"/>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71</vt:i4>
      </vt:variant>
    </vt:vector>
  </HeadingPairs>
  <TitlesOfParts>
    <vt:vector size="85" baseType="lpstr">
      <vt:lpstr>Intro</vt:lpstr>
      <vt:lpstr>Inputs</vt:lpstr>
      <vt:lpstr>Final Summary</vt:lpstr>
      <vt:lpstr>Map Help</vt:lpstr>
      <vt:lpstr>PB Liquefaction Initiation</vt:lpstr>
      <vt:lpstr>Det Liquefaction Initiation</vt:lpstr>
      <vt:lpstr>PB Settlement</vt:lpstr>
      <vt:lpstr>Det Settlement</vt:lpstr>
      <vt:lpstr>Lateral Spread</vt:lpstr>
      <vt:lpstr>Slope Displacement</vt:lpstr>
      <vt:lpstr>References</vt:lpstr>
      <vt:lpstr>Version Notes</vt:lpstr>
      <vt:lpstr>_Hidden</vt:lpstr>
      <vt:lpstr>_HiddenCopy</vt:lpstr>
      <vt:lpstr>B_T_Method</vt:lpstr>
      <vt:lpstr>Bore_D</vt:lpstr>
      <vt:lpstr>Bore_Diam</vt:lpstr>
      <vt:lpstr>Class</vt:lpstr>
      <vt:lpstr>CSR_ref_BI</vt:lpstr>
      <vt:lpstr>D</vt:lpstr>
      <vt:lpstr>D_ref_BT</vt:lpstr>
      <vt:lpstr>D_ref_RS</vt:lpstr>
      <vt:lpstr>D50_prob</vt:lpstr>
      <vt:lpstr>design_gw</vt:lpstr>
      <vt:lpstr>Det_BT</vt:lpstr>
      <vt:lpstr>Det_Liq_Option</vt:lpstr>
      <vt:lpstr>Det_LS_option</vt:lpstr>
      <vt:lpstr>Det_RS</vt:lpstr>
      <vt:lpstr>Det_SS_option</vt:lpstr>
      <vt:lpstr>Dh_ref</vt:lpstr>
      <vt:lpstr>Efficiency</vt:lpstr>
      <vt:lpstr>F15_prob</vt:lpstr>
      <vt:lpstr>first_Nreq_Det_BI</vt:lpstr>
      <vt:lpstr>first_Nreq_PB_BI</vt:lpstr>
      <vt:lpstr>first_sub_Det_BI</vt:lpstr>
      <vt:lpstr>first_sub_PB_BI</vt:lpstr>
      <vt:lpstr>Fpga</vt:lpstr>
      <vt:lpstr>FPGA_choice</vt:lpstr>
      <vt:lpstr>FPGA_Choice_det</vt:lpstr>
      <vt:lpstr>Fpga_det</vt:lpstr>
      <vt:lpstr>Fpga_method</vt:lpstr>
      <vt:lpstr>Fpga_ref_SS</vt:lpstr>
      <vt:lpstr>gw_depth</vt:lpstr>
      <vt:lpstr>Hammer_Eff</vt:lpstr>
      <vt:lpstr>IB_MSF</vt:lpstr>
      <vt:lpstr>ky_site</vt:lpstr>
      <vt:lpstr>Lat</vt:lpstr>
      <vt:lpstr>Long</vt:lpstr>
      <vt:lpstr>LS_GS_Opt</vt:lpstr>
      <vt:lpstr>Method_BI</vt:lpstr>
      <vt:lpstr>Method_Cetin</vt:lpstr>
      <vt:lpstr>Mw_det</vt:lpstr>
      <vt:lpstr>Mw_LS_det</vt:lpstr>
      <vt:lpstr>Mw_prob</vt:lpstr>
      <vt:lpstr>Mw_SS_det</vt:lpstr>
      <vt:lpstr>NFACT</vt:lpstr>
      <vt:lpstr>no_liners</vt:lpstr>
      <vt:lpstr>Nreq_ref_Cet</vt:lpstr>
      <vt:lpstr>Option_PL_FSL</vt:lpstr>
      <vt:lpstr>PE</vt:lpstr>
      <vt:lpstr>Percentile_Liq</vt:lpstr>
      <vt:lpstr>Percentile_LS</vt:lpstr>
      <vt:lpstr>Percentile_Slope</vt:lpstr>
      <vt:lpstr>Percentile_SS</vt:lpstr>
      <vt:lpstr>PGA_det</vt:lpstr>
      <vt:lpstr>PGA_prob</vt:lpstr>
      <vt:lpstr>R_LS_det</vt:lpstr>
      <vt:lpstr>R_S_Method</vt:lpstr>
      <vt:lpstr>Rod_L</vt:lpstr>
      <vt:lpstr>Rod_stickup</vt:lpstr>
      <vt:lpstr>S_prob</vt:lpstr>
      <vt:lpstr>Simp_BT</vt:lpstr>
      <vt:lpstr>Simp_Liq_option</vt:lpstr>
      <vt:lpstr>Simp_LS_Option</vt:lpstr>
      <vt:lpstr>Simp_RS</vt:lpstr>
      <vt:lpstr>simp_settle_option</vt:lpstr>
      <vt:lpstr>Simp_SS_Option</vt:lpstr>
      <vt:lpstr>strain_ref_cetin</vt:lpstr>
      <vt:lpstr>strain_ref_iy</vt:lpstr>
      <vt:lpstr>T15_prob</vt:lpstr>
      <vt:lpstr>Thick</vt:lpstr>
      <vt:lpstr>Tr</vt:lpstr>
      <vt:lpstr>units</vt:lpstr>
      <vt:lpstr>Vs12_prob</vt:lpstr>
      <vt:lpstr>W_prob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lextreme</dc:creator>
  <cp:lastModifiedBy>Sergeson, Patricia (FHWA)</cp:lastModifiedBy>
  <cp:lastPrinted>2018-09-05T16:27:09Z</cp:lastPrinted>
  <dcterms:created xsi:type="dcterms:W3CDTF">2015-01-12T21:02:49Z</dcterms:created>
  <dcterms:modified xsi:type="dcterms:W3CDTF">2022-03-01T15:06:15Z</dcterms:modified>
</cp:coreProperties>
</file>